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BAO\3211 - AN per SG geteld\actuele versie\"/>
    </mc:Choice>
  </mc:AlternateContent>
  <xr:revisionPtr revIDLastSave="0" documentId="8_{B0FC5E98-22E2-47D5-B741-EF1E77FC6EF3}" xr6:coauthVersionLast="47" xr6:coauthVersionMax="47" xr10:uidLastSave="{00000000-0000-0000-0000-000000000000}"/>
  <workbookProtection workbookAlgorithmName="SHA-512" workbookHashValue="rG3Q1sA5W3GNm3Bg54k3x02FSuoMVvN75DRoSWE6qu+AdRsPAJW1fE5FzNvrdeR6SCrDVsk82W2WKF1bYT99xQ==" workbookSaltValue="6w/Ltk4w9z2A2IxzBcWPsg==" workbookSpinCount="100000" lockStructure="1"/>
  <bookViews>
    <workbookView xWindow="-28920" yWindow="-120" windowWidth="29040" windowHeight="15840" tabRatio="930" xr2:uid="{00000000-000D-0000-FFFF-FFFF00000000}"/>
  </bookViews>
  <sheets>
    <sheet name="AN per SG geteld" sheetId="14" r:id="rId1"/>
    <sheet name="Blad2" sheetId="16" state="hidden" r:id="rId2"/>
    <sheet name="instellingsgegevens" sheetId="15" state="hidden" r:id="rId3"/>
  </sheets>
  <definedNames>
    <definedName name="_xlnm._FilterDatabase" localSheetId="2" hidden="1">instellingsgegevens!$A$1:$AZ$328</definedName>
    <definedName name="_xlnm.Print_Area" localSheetId="0">'AN per SG geteld'!$A$1:$BW$212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1" i="14" l="1"/>
  <c r="B4" i="14"/>
  <c r="B17" i="16"/>
  <c r="B16" i="16"/>
  <c r="B15" i="16"/>
  <c r="B14" i="16"/>
  <c r="F13" i="16"/>
  <c r="G13" i="16" s="1"/>
  <c r="B13" i="16"/>
  <c r="G12" i="16"/>
  <c r="B12" i="16"/>
  <c r="F14" i="16" l="1"/>
  <c r="AD6" i="14"/>
  <c r="G14" i="16" l="1"/>
  <c r="F15" i="16"/>
  <c r="B141" i="14"/>
  <c r="B83" i="14"/>
  <c r="Q48" i="14"/>
  <c r="AI54" i="14"/>
  <c r="AX83" i="14"/>
  <c r="F16" i="16" l="1"/>
  <c r="G15" i="16"/>
  <c r="Y12" i="14"/>
  <c r="BC81" i="14"/>
  <c r="S63" i="14"/>
  <c r="P70" i="14"/>
  <c r="G16" i="16" l="1"/>
  <c r="F17" i="16"/>
  <c r="G17" i="16" s="1"/>
  <c r="BW128" i="14" l="1"/>
  <c r="BW127" i="14"/>
  <c r="BW126" i="14"/>
  <c r="BW125" i="14"/>
  <c r="BW124" i="14"/>
  <c r="BW123" i="14"/>
  <c r="BW122" i="14"/>
  <c r="BW121" i="14"/>
  <c r="BW120" i="14"/>
  <c r="BW119" i="14"/>
  <c r="BW118" i="14"/>
  <c r="BW117" i="14"/>
  <c r="BW116" i="14"/>
  <c r="BW115" i="14"/>
  <c r="BW114" i="14"/>
  <c r="BW113" i="14"/>
  <c r="BW112" i="14"/>
  <c r="BW111" i="14"/>
  <c r="BW110" i="14"/>
  <c r="BW109" i="14"/>
  <c r="BW108" i="14"/>
  <c r="BW107" i="14"/>
  <c r="BW106" i="14"/>
  <c r="BW105" i="14"/>
  <c r="BW104" i="14"/>
  <c r="BW103" i="14"/>
  <c r="BW102" i="14"/>
  <c r="BW101" i="14"/>
  <c r="BW100" i="14"/>
  <c r="BW99" i="14"/>
  <c r="BW98" i="14"/>
  <c r="BW97" i="14"/>
  <c r="BW96" i="14"/>
  <c r="BW95" i="14"/>
  <c r="BW94" i="14"/>
  <c r="BW93" i="14"/>
  <c r="BW92" i="14"/>
  <c r="BW91" i="14"/>
  <c r="BW90" i="14"/>
  <c r="BW89" i="14"/>
  <c r="BW88" i="14"/>
  <c r="BW87" i="14"/>
  <c r="BR128" i="14"/>
  <c r="BR127" i="14"/>
  <c r="BR126" i="14"/>
  <c r="BR125" i="14"/>
  <c r="BR124" i="14"/>
  <c r="BR123" i="14"/>
  <c r="BR122" i="14"/>
  <c r="BR121" i="14"/>
  <c r="BR120" i="14"/>
  <c r="BR119" i="14"/>
  <c r="BR118" i="14"/>
  <c r="BR117" i="14"/>
  <c r="BR116" i="14"/>
  <c r="BR115" i="14"/>
  <c r="BR114" i="14"/>
  <c r="BR113" i="14"/>
  <c r="BR112" i="14"/>
  <c r="BR111" i="14"/>
  <c r="BR110" i="14"/>
  <c r="BR109" i="14"/>
  <c r="BR108" i="14"/>
  <c r="BR107" i="14"/>
  <c r="BR106" i="14"/>
  <c r="BR105" i="14"/>
  <c r="BR104" i="14"/>
  <c r="BR103" i="14"/>
  <c r="BR102" i="14"/>
  <c r="BR101" i="14"/>
  <c r="BR100" i="14"/>
  <c r="BR99" i="14"/>
  <c r="BR98" i="14"/>
  <c r="BR97" i="14"/>
  <c r="BR96" i="14"/>
  <c r="BR95" i="14"/>
  <c r="BR94" i="14"/>
  <c r="BR93" i="14"/>
  <c r="BR92" i="14"/>
  <c r="BR91" i="14"/>
  <c r="BR90" i="14"/>
  <c r="BR89" i="14"/>
  <c r="BR88" i="14"/>
  <c r="BR87" i="14"/>
  <c r="BM128" i="14"/>
  <c r="BM127" i="14"/>
  <c r="BM126" i="14"/>
  <c r="BM125" i="14"/>
  <c r="BM124" i="14"/>
  <c r="BM123" i="14"/>
  <c r="BM122" i="14"/>
  <c r="BM121" i="14"/>
  <c r="BM120" i="14"/>
  <c r="BM119" i="14"/>
  <c r="BM118" i="14"/>
  <c r="BM117" i="14"/>
  <c r="BM116" i="14"/>
  <c r="BM115" i="14"/>
  <c r="BM114" i="14"/>
  <c r="BM113" i="14"/>
  <c r="BM112" i="14"/>
  <c r="BM111" i="14"/>
  <c r="BM110" i="14"/>
  <c r="BM109" i="14"/>
  <c r="BM108" i="14"/>
  <c r="BM107" i="14"/>
  <c r="BM106" i="14"/>
  <c r="BM105" i="14"/>
  <c r="BM104" i="14"/>
  <c r="BM103" i="14"/>
  <c r="BM102" i="14"/>
  <c r="BM101" i="14"/>
  <c r="BM100" i="14"/>
  <c r="BM99" i="14"/>
  <c r="BM98" i="14"/>
  <c r="BM97" i="14"/>
  <c r="BM96" i="14"/>
  <c r="BM95" i="14"/>
  <c r="BM94" i="14"/>
  <c r="BM93" i="14"/>
  <c r="BM92" i="14"/>
  <c r="BM91" i="14"/>
  <c r="BM90" i="14"/>
  <c r="BM89" i="14"/>
  <c r="BM88" i="14"/>
  <c r="BM87" i="14"/>
  <c r="BH128" i="14"/>
  <c r="BH127" i="14"/>
  <c r="BH126" i="14"/>
  <c r="BH125" i="14"/>
  <c r="BH124" i="14"/>
  <c r="BH123" i="14"/>
  <c r="BH122" i="14"/>
  <c r="BH121" i="14"/>
  <c r="BH120" i="14"/>
  <c r="BH119" i="14"/>
  <c r="BH118" i="14"/>
  <c r="BH117" i="14"/>
  <c r="BH116" i="14"/>
  <c r="BH115" i="14"/>
  <c r="BH114" i="14"/>
  <c r="BH113" i="14"/>
  <c r="BH112" i="14"/>
  <c r="BH111" i="14"/>
  <c r="BH110" i="14"/>
  <c r="BH109" i="14"/>
  <c r="BH108" i="14"/>
  <c r="BH107" i="14"/>
  <c r="BH106" i="14"/>
  <c r="BH105" i="14"/>
  <c r="BH104" i="14"/>
  <c r="BH103" i="14"/>
  <c r="BH102" i="14"/>
  <c r="BH101" i="14"/>
  <c r="BH100" i="14"/>
  <c r="BH99" i="14"/>
  <c r="BH98" i="14"/>
  <c r="BH97" i="14"/>
  <c r="BH96" i="14"/>
  <c r="BH95" i="14"/>
  <c r="BH94" i="14"/>
  <c r="BH93" i="14"/>
  <c r="BH92" i="14"/>
  <c r="BH91" i="14"/>
  <c r="BH90" i="14"/>
  <c r="BH89" i="14"/>
  <c r="BH88" i="14"/>
  <c r="BH87" i="14"/>
  <c r="BC128" i="14"/>
  <c r="BC127" i="14"/>
  <c r="BC126" i="14"/>
  <c r="BC125" i="14"/>
  <c r="BC124" i="14"/>
  <c r="BC123" i="14"/>
  <c r="BC122" i="14"/>
  <c r="BC121" i="14"/>
  <c r="BC120" i="14"/>
  <c r="BC119" i="14"/>
  <c r="BC118" i="14"/>
  <c r="BC117" i="14"/>
  <c r="BC116" i="14"/>
  <c r="BC115" i="14"/>
  <c r="BC114" i="14"/>
  <c r="BC113" i="14"/>
  <c r="BC112" i="14"/>
  <c r="BC111" i="14"/>
  <c r="BC110" i="14"/>
  <c r="BC109" i="14"/>
  <c r="BC108" i="14"/>
  <c r="BC107" i="14"/>
  <c r="BC106" i="14"/>
  <c r="BC105" i="14"/>
  <c r="BC104" i="14"/>
  <c r="BC103" i="14"/>
  <c r="BC102" i="14"/>
  <c r="BC101" i="14"/>
  <c r="BC100" i="14"/>
  <c r="BC99" i="14"/>
  <c r="BC98" i="14"/>
  <c r="BC97" i="14"/>
  <c r="BC96" i="14"/>
  <c r="BC95" i="14"/>
  <c r="BC94" i="14"/>
  <c r="BC93" i="14"/>
  <c r="BC92" i="14"/>
  <c r="BC91" i="14"/>
  <c r="BC90" i="14"/>
  <c r="BC89" i="14"/>
  <c r="BC88" i="14"/>
  <c r="BC87" i="14"/>
  <c r="AX128" i="14"/>
  <c r="AX127" i="14"/>
  <c r="AX126" i="14"/>
  <c r="AX125" i="14"/>
  <c r="AX124" i="14"/>
  <c r="AX123" i="14"/>
  <c r="AX122" i="14"/>
  <c r="AX121" i="14"/>
  <c r="AX120" i="14"/>
  <c r="AX119" i="14"/>
  <c r="AX118" i="14"/>
  <c r="AX117" i="14"/>
  <c r="AX116" i="14"/>
  <c r="AX115" i="14"/>
  <c r="AX114" i="14"/>
  <c r="AX113" i="14"/>
  <c r="AX112" i="14"/>
  <c r="AX111" i="14"/>
  <c r="AX110" i="14"/>
  <c r="AX109" i="14"/>
  <c r="AX108" i="14"/>
  <c r="AX107" i="14"/>
  <c r="AX106" i="14"/>
  <c r="AX105" i="14"/>
  <c r="AX104" i="14"/>
  <c r="AX103" i="14"/>
  <c r="AX102" i="14"/>
  <c r="AX101" i="14"/>
  <c r="AX100" i="14"/>
  <c r="AX99" i="14"/>
  <c r="AX98" i="14"/>
  <c r="AX97" i="14"/>
  <c r="AX96" i="14"/>
  <c r="AX95" i="14"/>
  <c r="AX94" i="14"/>
  <c r="AX93" i="14"/>
  <c r="AX92" i="14"/>
  <c r="AX91" i="14"/>
  <c r="AX90" i="14"/>
  <c r="AX89" i="14"/>
  <c r="AX88" i="14"/>
  <c r="AX87" i="14"/>
  <c r="BS129" i="14" l="1"/>
  <c r="BU128" i="14"/>
  <c r="BU127" i="14"/>
  <c r="BU126" i="14"/>
  <c r="BU125" i="14"/>
  <c r="BU124" i="14"/>
  <c r="BU123" i="14"/>
  <c r="BU122" i="14"/>
  <c r="BU121" i="14"/>
  <c r="BU120" i="14"/>
  <c r="BU119" i="14"/>
  <c r="BU118" i="14"/>
  <c r="BU117" i="14"/>
  <c r="BU116" i="14"/>
  <c r="BU115" i="14"/>
  <c r="BU114" i="14"/>
  <c r="BU113" i="14"/>
  <c r="BU112" i="14"/>
  <c r="BU111" i="14"/>
  <c r="BU110" i="14"/>
  <c r="BU109" i="14"/>
  <c r="BU108" i="14"/>
  <c r="BU107" i="14"/>
  <c r="BU106" i="14"/>
  <c r="BU105" i="14"/>
  <c r="BU104" i="14"/>
  <c r="BU103" i="14"/>
  <c r="BU102" i="14"/>
  <c r="BU101" i="14"/>
  <c r="BU100" i="14"/>
  <c r="BU99" i="14"/>
  <c r="BU98" i="14"/>
  <c r="BU97" i="14"/>
  <c r="BU96" i="14"/>
  <c r="BU95" i="14"/>
  <c r="BU94" i="14"/>
  <c r="BU93" i="14"/>
  <c r="BU92" i="14"/>
  <c r="BU91" i="14"/>
  <c r="BU90" i="14"/>
  <c r="BU89" i="14"/>
  <c r="BU88" i="14"/>
  <c r="BW129" i="14"/>
  <c r="BU87" i="14"/>
  <c r="BN129" i="14"/>
  <c r="BP128" i="14"/>
  <c r="BP127" i="14"/>
  <c r="BP126" i="14"/>
  <c r="BP125" i="14"/>
  <c r="BP124" i="14"/>
  <c r="BP123" i="14"/>
  <c r="BP122" i="14"/>
  <c r="BP121" i="14"/>
  <c r="BP120" i="14"/>
  <c r="BP119" i="14"/>
  <c r="BP118" i="14"/>
  <c r="BP117" i="14"/>
  <c r="BP116" i="14"/>
  <c r="BP115" i="14"/>
  <c r="BP114" i="14"/>
  <c r="BP113" i="14"/>
  <c r="BP112" i="14"/>
  <c r="BP111" i="14"/>
  <c r="BP110" i="14"/>
  <c r="BP109" i="14"/>
  <c r="BP108" i="14"/>
  <c r="BP107" i="14"/>
  <c r="BP106" i="14"/>
  <c r="BP105" i="14"/>
  <c r="BP104" i="14"/>
  <c r="BP103" i="14"/>
  <c r="BP102" i="14"/>
  <c r="BP101" i="14"/>
  <c r="BP100" i="14"/>
  <c r="BP99" i="14"/>
  <c r="BP98" i="14"/>
  <c r="BP97" i="14"/>
  <c r="BP96" i="14"/>
  <c r="BP95" i="14"/>
  <c r="BP94" i="14"/>
  <c r="BP93" i="14"/>
  <c r="BP92" i="14"/>
  <c r="BP91" i="14"/>
  <c r="BP90" i="14"/>
  <c r="BP89" i="14"/>
  <c r="BP88" i="14"/>
  <c r="BR129" i="14"/>
  <c r="BP87" i="14"/>
  <c r="BI129" i="14"/>
  <c r="BK128" i="14"/>
  <c r="BK127" i="14"/>
  <c r="BK126" i="14"/>
  <c r="BK125" i="14"/>
  <c r="BK124" i="14"/>
  <c r="BK123" i="14"/>
  <c r="BK122" i="14"/>
  <c r="BK121" i="14"/>
  <c r="BK120" i="14"/>
  <c r="BK119" i="14"/>
  <c r="BK118" i="14"/>
  <c r="BK117" i="14"/>
  <c r="BK116" i="14"/>
  <c r="BK115" i="14"/>
  <c r="BK114" i="14"/>
  <c r="BK113" i="14"/>
  <c r="BK112" i="14"/>
  <c r="BK111" i="14"/>
  <c r="BK110" i="14"/>
  <c r="BK109" i="14"/>
  <c r="BK108" i="14"/>
  <c r="BK107" i="14"/>
  <c r="BK106" i="14"/>
  <c r="BK105" i="14"/>
  <c r="BK104" i="14"/>
  <c r="BK103" i="14"/>
  <c r="BK102" i="14"/>
  <c r="BK101" i="14"/>
  <c r="BK100" i="14"/>
  <c r="BK99" i="14"/>
  <c r="BK98" i="14"/>
  <c r="BK97" i="14"/>
  <c r="BK96" i="14"/>
  <c r="BK95" i="14"/>
  <c r="BK94" i="14"/>
  <c r="BK93" i="14"/>
  <c r="BK92" i="14"/>
  <c r="BK91" i="14"/>
  <c r="BK90" i="14"/>
  <c r="BK89" i="14"/>
  <c r="BK88" i="14"/>
  <c r="BK87" i="14"/>
  <c r="BD129" i="14"/>
  <c r="AY129" i="14"/>
  <c r="AT129" i="14"/>
  <c r="BF128" i="14"/>
  <c r="BA128" i="14"/>
  <c r="AV128" i="14"/>
  <c r="BF127" i="14"/>
  <c r="BA127" i="14"/>
  <c r="AV127" i="14"/>
  <c r="BF126" i="14"/>
  <c r="BA126" i="14"/>
  <c r="AV126" i="14"/>
  <c r="BF125" i="14"/>
  <c r="BA125" i="14"/>
  <c r="AV125" i="14"/>
  <c r="BF124" i="14"/>
  <c r="BA124" i="14"/>
  <c r="AV124" i="14"/>
  <c r="BF123" i="14"/>
  <c r="BA123" i="14"/>
  <c r="AV123" i="14"/>
  <c r="BF122" i="14"/>
  <c r="BA122" i="14"/>
  <c r="AV122" i="14"/>
  <c r="BF121" i="14"/>
  <c r="BA121" i="14"/>
  <c r="AV121" i="14"/>
  <c r="BF120" i="14"/>
  <c r="BA120" i="14"/>
  <c r="AV120" i="14"/>
  <c r="BF119" i="14"/>
  <c r="BA119" i="14"/>
  <c r="AV119" i="14"/>
  <c r="BF118" i="14"/>
  <c r="BA118" i="14"/>
  <c r="AV118" i="14"/>
  <c r="BF117" i="14"/>
  <c r="BA117" i="14"/>
  <c r="AV117" i="14"/>
  <c r="BF116" i="14"/>
  <c r="BA116" i="14"/>
  <c r="AV116" i="14"/>
  <c r="BF115" i="14"/>
  <c r="BA115" i="14"/>
  <c r="AV115" i="14"/>
  <c r="BF114" i="14"/>
  <c r="BA114" i="14"/>
  <c r="AV114" i="14"/>
  <c r="BF113" i="14"/>
  <c r="BA113" i="14"/>
  <c r="AV113" i="14"/>
  <c r="BF112" i="14"/>
  <c r="BA112" i="14"/>
  <c r="AV112" i="14"/>
  <c r="BF111" i="14"/>
  <c r="BA111" i="14"/>
  <c r="AV111" i="14"/>
  <c r="BF110" i="14"/>
  <c r="BA110" i="14"/>
  <c r="AV110" i="14"/>
  <c r="BF109" i="14"/>
  <c r="BA109" i="14"/>
  <c r="AV109" i="14"/>
  <c r="BF108" i="14"/>
  <c r="BA108" i="14"/>
  <c r="AV108" i="14"/>
  <c r="BF107" i="14"/>
  <c r="BA107" i="14"/>
  <c r="AV107" i="14"/>
  <c r="BF106" i="14"/>
  <c r="BA106" i="14"/>
  <c r="AV106" i="14"/>
  <c r="BF105" i="14"/>
  <c r="BA105" i="14"/>
  <c r="AV105" i="14"/>
  <c r="BF104" i="14"/>
  <c r="BA104" i="14"/>
  <c r="AV104" i="14"/>
  <c r="BF103" i="14"/>
  <c r="BA103" i="14"/>
  <c r="AV103" i="14"/>
  <c r="BF102" i="14"/>
  <c r="BA102" i="14"/>
  <c r="AV102" i="14"/>
  <c r="BF101" i="14"/>
  <c r="BA101" i="14"/>
  <c r="AV101" i="14"/>
  <c r="BF100" i="14"/>
  <c r="BA100" i="14"/>
  <c r="AV100" i="14"/>
  <c r="BF99" i="14"/>
  <c r="BA99" i="14"/>
  <c r="AV99" i="14"/>
  <c r="BF98" i="14"/>
  <c r="BA98" i="14"/>
  <c r="AV98" i="14"/>
  <c r="BF97" i="14"/>
  <c r="BA97" i="14"/>
  <c r="AV97" i="14"/>
  <c r="BF96" i="14"/>
  <c r="BA96" i="14"/>
  <c r="AV96" i="14"/>
  <c r="BF95" i="14"/>
  <c r="BA95" i="14"/>
  <c r="AV95" i="14"/>
  <c r="BF94" i="14"/>
  <c r="BA94" i="14"/>
  <c r="AV94" i="14"/>
  <c r="BF93" i="14"/>
  <c r="BA93" i="14"/>
  <c r="AV93" i="14"/>
  <c r="BF92" i="14"/>
  <c r="BA92" i="14"/>
  <c r="AV92" i="14"/>
  <c r="BF91" i="14"/>
  <c r="BA91" i="14"/>
  <c r="AV91" i="14"/>
  <c r="BF90" i="14"/>
  <c r="BA90" i="14"/>
  <c r="AV90" i="14"/>
  <c r="BF89" i="14"/>
  <c r="BA89" i="14"/>
  <c r="AV89" i="14"/>
  <c r="BF88" i="14"/>
  <c r="BA88" i="14"/>
  <c r="AV88" i="14"/>
  <c r="BF87" i="14"/>
  <c r="BC129" i="14"/>
  <c r="BA87" i="14"/>
  <c r="AV87" i="14"/>
  <c r="BU129" i="14" l="1"/>
  <c r="BK129" i="14"/>
  <c r="BA129" i="14"/>
  <c r="BF129" i="14"/>
  <c r="BM129" i="14"/>
  <c r="AV129" i="14"/>
  <c r="AX129" i="14"/>
  <c r="BH129" i="14"/>
  <c r="BP129" i="14"/>
  <c r="AJ56" i="14" l="1"/>
  <c r="E58" i="14"/>
  <c r="AI51" i="14" l="1"/>
  <c r="E59" i="14"/>
  <c r="E56" i="14"/>
  <c r="E54" i="14"/>
  <c r="E51" i="14"/>
  <c r="E57" i="14"/>
  <c r="E55" i="14"/>
  <c r="E52" i="14"/>
  <c r="B12" i="14" l="1"/>
  <c r="B192" i="14" l="1"/>
  <c r="B191" i="14"/>
  <c r="B190" i="14"/>
  <c r="J192" i="14"/>
  <c r="J191" i="14"/>
  <c r="AO129" i="14"/>
  <c r="AJ129" i="14"/>
  <c r="AE129" i="14"/>
  <c r="Z129" i="14"/>
  <c r="U129" i="14"/>
  <c r="P129" i="14"/>
  <c r="K129" i="14"/>
  <c r="F129" i="14"/>
  <c r="AS128" i="14"/>
  <c r="AQ128" i="14"/>
  <c r="AN128" i="14"/>
  <c r="AL128" i="14"/>
  <c r="AI128" i="14"/>
  <c r="AG128" i="14"/>
  <c r="AD128" i="14"/>
  <c r="AB128" i="14"/>
  <c r="Y128" i="14"/>
  <c r="W128" i="14"/>
  <c r="T128" i="14"/>
  <c r="R128" i="14"/>
  <c r="O128" i="14"/>
  <c r="M128" i="14"/>
  <c r="J128" i="14"/>
  <c r="H128" i="14"/>
  <c r="AS127" i="14"/>
  <c r="AQ127" i="14"/>
  <c r="AN127" i="14"/>
  <c r="AL127" i="14"/>
  <c r="AI127" i="14"/>
  <c r="AG127" i="14"/>
  <c r="AD127" i="14"/>
  <c r="AB127" i="14"/>
  <c r="Y127" i="14"/>
  <c r="W127" i="14"/>
  <c r="T127" i="14"/>
  <c r="R127" i="14"/>
  <c r="O127" i="14"/>
  <c r="M127" i="14"/>
  <c r="J127" i="14"/>
  <c r="H127" i="14"/>
  <c r="B127" i="14"/>
  <c r="B126" i="14"/>
  <c r="B125" i="14"/>
  <c r="B136" i="14" l="1"/>
  <c r="B134" i="14"/>
  <c r="B135" i="14"/>
  <c r="C11" i="14"/>
  <c r="B189" i="14" l="1"/>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01" i="14"/>
  <c r="F194" i="14"/>
  <c r="N152" i="14" s="1"/>
  <c r="B205" i="14" s="1"/>
  <c r="J193" i="14"/>
  <c r="J190" i="14"/>
  <c r="J189" i="14"/>
  <c r="B124" i="14"/>
  <c r="AS126" i="14"/>
  <c r="AQ126" i="14"/>
  <c r="AN126" i="14"/>
  <c r="AL126" i="14"/>
  <c r="AI126" i="14"/>
  <c r="AG126" i="14"/>
  <c r="AD126" i="14"/>
  <c r="AB126" i="14"/>
  <c r="Y126" i="14"/>
  <c r="W126" i="14"/>
  <c r="T126" i="14"/>
  <c r="R126" i="14"/>
  <c r="O126" i="14"/>
  <c r="M126" i="14"/>
  <c r="J126" i="14"/>
  <c r="H126" i="14"/>
  <c r="AS125" i="14"/>
  <c r="AQ125" i="14"/>
  <c r="AN125" i="14"/>
  <c r="AL125" i="14"/>
  <c r="AI125" i="14"/>
  <c r="AG125" i="14"/>
  <c r="AD125" i="14"/>
  <c r="AB125" i="14"/>
  <c r="Y125" i="14"/>
  <c r="W125" i="14"/>
  <c r="T125" i="14"/>
  <c r="R125" i="14"/>
  <c r="O125" i="14"/>
  <c r="M125" i="14"/>
  <c r="J125" i="14"/>
  <c r="H125" i="14"/>
  <c r="AS124" i="14"/>
  <c r="AQ124" i="14"/>
  <c r="AN124" i="14"/>
  <c r="AL124" i="14"/>
  <c r="AI124" i="14"/>
  <c r="AG124" i="14"/>
  <c r="AD124" i="14"/>
  <c r="AB124" i="14"/>
  <c r="Y124" i="14"/>
  <c r="W124" i="14"/>
  <c r="T124" i="14"/>
  <c r="R124" i="14"/>
  <c r="O124" i="14"/>
  <c r="M124" i="14"/>
  <c r="J124" i="14"/>
  <c r="H124" i="14"/>
  <c r="B123" i="14"/>
  <c r="B122" i="14"/>
  <c r="B121" i="14"/>
  <c r="B120" i="14"/>
  <c r="B119" i="14"/>
  <c r="B118" i="14"/>
  <c r="B117" i="14"/>
  <c r="B116" i="14"/>
  <c r="B115" i="14"/>
  <c r="B114" i="14"/>
  <c r="B113" i="14"/>
  <c r="B112" i="14"/>
  <c r="B111" i="14"/>
  <c r="B110" i="14"/>
  <c r="B109" i="14"/>
  <c r="B108" i="14"/>
  <c r="B107" i="14"/>
  <c r="B106" i="14"/>
  <c r="B105" i="14"/>
  <c r="B104" i="14"/>
  <c r="B103" i="14"/>
  <c r="B102" i="14"/>
  <c r="B100" i="14"/>
  <c r="B99" i="14"/>
  <c r="B98" i="14"/>
  <c r="B97" i="14"/>
  <c r="B96" i="14"/>
  <c r="B95" i="14"/>
  <c r="B94" i="14"/>
  <c r="B93" i="14"/>
  <c r="B92" i="14"/>
  <c r="B91" i="14"/>
  <c r="B90" i="14"/>
  <c r="B89" i="14"/>
  <c r="B88" i="14"/>
  <c r="B87" i="14"/>
  <c r="Q44" i="14"/>
  <c r="T42" i="14"/>
  <c r="Q42" i="14"/>
  <c r="Q40" i="14"/>
  <c r="Q37" i="14"/>
  <c r="Q35" i="14"/>
  <c r="Q31" i="14"/>
  <c r="B6" i="16"/>
  <c r="B11" i="16"/>
  <c r="B10" i="16"/>
  <c r="B9" i="16"/>
  <c r="B8" i="16"/>
  <c r="B7" i="16"/>
  <c r="J188" i="14"/>
  <c r="AS123" i="14"/>
  <c r="AQ123" i="14"/>
  <c r="AN123" i="14"/>
  <c r="AL123" i="14"/>
  <c r="AI123" i="14"/>
  <c r="AG123" i="14"/>
  <c r="AD123" i="14"/>
  <c r="AB123" i="14"/>
  <c r="Y123" i="14"/>
  <c r="W123" i="14"/>
  <c r="T123" i="14"/>
  <c r="R123" i="14"/>
  <c r="O123" i="14"/>
  <c r="M123" i="14"/>
  <c r="J123" i="14"/>
  <c r="H123" i="14"/>
  <c r="AS122" i="14"/>
  <c r="AQ122" i="14"/>
  <c r="AN122" i="14"/>
  <c r="AL122" i="14"/>
  <c r="AI122" i="14"/>
  <c r="AG122" i="14"/>
  <c r="AD122" i="14"/>
  <c r="AB122" i="14"/>
  <c r="Y122" i="14"/>
  <c r="W122" i="14"/>
  <c r="T122" i="14"/>
  <c r="R122" i="14"/>
  <c r="O122" i="14"/>
  <c r="M122" i="14"/>
  <c r="J122" i="14"/>
  <c r="H122" i="14"/>
  <c r="J187" i="14"/>
  <c r="B11" i="14"/>
  <c r="B15" i="14"/>
  <c r="B133" i="14"/>
  <c r="J87" i="14"/>
  <c r="J89" i="14"/>
  <c r="J92" i="14"/>
  <c r="J95" i="14"/>
  <c r="J98" i="14"/>
  <c r="J117" i="14"/>
  <c r="J110" i="14"/>
  <c r="J106" i="14"/>
  <c r="J88" i="14"/>
  <c r="J90" i="14"/>
  <c r="J91" i="14"/>
  <c r="J93" i="14"/>
  <c r="J94" i="14"/>
  <c r="J96" i="14"/>
  <c r="J97" i="14"/>
  <c r="J99" i="14"/>
  <c r="J100" i="14"/>
  <c r="J101" i="14"/>
  <c r="J102" i="14"/>
  <c r="J103" i="14"/>
  <c r="J104" i="14"/>
  <c r="J105" i="14"/>
  <c r="J107" i="14"/>
  <c r="J108" i="14"/>
  <c r="J109" i="14"/>
  <c r="J111" i="14"/>
  <c r="J112" i="14"/>
  <c r="J113" i="14"/>
  <c r="J114" i="14"/>
  <c r="J115" i="14"/>
  <c r="J116" i="14"/>
  <c r="H142" i="14"/>
  <c r="AQ87" i="14"/>
  <c r="AN121" i="14"/>
  <c r="AN120" i="14"/>
  <c r="AN119" i="14"/>
  <c r="AN118" i="14"/>
  <c r="AN117" i="14"/>
  <c r="AN116" i="14"/>
  <c r="AN115" i="14"/>
  <c r="AN114" i="14"/>
  <c r="AN113" i="14"/>
  <c r="AN112" i="14"/>
  <c r="AN111" i="14"/>
  <c r="AN110" i="14"/>
  <c r="AN109" i="14"/>
  <c r="AN108" i="14"/>
  <c r="AN107" i="14"/>
  <c r="AN106" i="14"/>
  <c r="AN105" i="14"/>
  <c r="AN104" i="14"/>
  <c r="AN103" i="14"/>
  <c r="AN102" i="14"/>
  <c r="AN101" i="14"/>
  <c r="AN100" i="14"/>
  <c r="AN99" i="14"/>
  <c r="AN98" i="14"/>
  <c r="AN97" i="14"/>
  <c r="AN96" i="14"/>
  <c r="AN95" i="14"/>
  <c r="AN94" i="14"/>
  <c r="AN93" i="14"/>
  <c r="AN92" i="14"/>
  <c r="AN91" i="14"/>
  <c r="AN90" i="14"/>
  <c r="AN89" i="14"/>
  <c r="AN88" i="14"/>
  <c r="AN87" i="14"/>
  <c r="AS121" i="14"/>
  <c r="AS120" i="14"/>
  <c r="AS119" i="14"/>
  <c r="AS118" i="14"/>
  <c r="AS117" i="14"/>
  <c r="AS116" i="14"/>
  <c r="AS115" i="14"/>
  <c r="AS114" i="14"/>
  <c r="AS113" i="14"/>
  <c r="AS112" i="14"/>
  <c r="AS111" i="14"/>
  <c r="AS110" i="14"/>
  <c r="AS109" i="14"/>
  <c r="AS108" i="14"/>
  <c r="AS107" i="14"/>
  <c r="AS106" i="14"/>
  <c r="AS105" i="14"/>
  <c r="AS104" i="14"/>
  <c r="AS103" i="14"/>
  <c r="AS102" i="14"/>
  <c r="AS101" i="14"/>
  <c r="AS100" i="14"/>
  <c r="AS99" i="14"/>
  <c r="AS98" i="14"/>
  <c r="AS97" i="14"/>
  <c r="AS96" i="14"/>
  <c r="AS95" i="14"/>
  <c r="AS94" i="14"/>
  <c r="AS93" i="14"/>
  <c r="AS92" i="14"/>
  <c r="AS91" i="14"/>
  <c r="AS90" i="14"/>
  <c r="AS89" i="14"/>
  <c r="AS88" i="14"/>
  <c r="AS87" i="14"/>
  <c r="AI121" i="14"/>
  <c r="AI120" i="14"/>
  <c r="AI119" i="14"/>
  <c r="AI118" i="14"/>
  <c r="AI117" i="14"/>
  <c r="AI116" i="14"/>
  <c r="AI115" i="14"/>
  <c r="AI114" i="14"/>
  <c r="AI113" i="14"/>
  <c r="AI112" i="14"/>
  <c r="AI111" i="14"/>
  <c r="AI110" i="14"/>
  <c r="AI109" i="14"/>
  <c r="AI108" i="14"/>
  <c r="AI107" i="14"/>
  <c r="AI106" i="14"/>
  <c r="AI105" i="14"/>
  <c r="AI104" i="14"/>
  <c r="AI103" i="14"/>
  <c r="AI102" i="14"/>
  <c r="AI101" i="14"/>
  <c r="AI100" i="14"/>
  <c r="AI99" i="14"/>
  <c r="AI98" i="14"/>
  <c r="AI97" i="14"/>
  <c r="AI96" i="14"/>
  <c r="AI95" i="14"/>
  <c r="AI94" i="14"/>
  <c r="AI93" i="14"/>
  <c r="AI92" i="14"/>
  <c r="AI91" i="14"/>
  <c r="AI90" i="14"/>
  <c r="AI89" i="14"/>
  <c r="AI88" i="14"/>
  <c r="AI87"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Y121" i="14"/>
  <c r="Y120" i="14"/>
  <c r="Y119" i="14"/>
  <c r="Y118" i="14"/>
  <c r="Y117" i="14"/>
  <c r="Y116" i="14"/>
  <c r="Y115" i="14"/>
  <c r="Y114" i="14"/>
  <c r="Y113" i="14"/>
  <c r="Y112" i="14"/>
  <c r="Y111" i="14"/>
  <c r="Y110" i="14"/>
  <c r="Y109" i="14"/>
  <c r="Y108" i="14"/>
  <c r="Y107" i="14"/>
  <c r="Y106" i="14"/>
  <c r="Y105" i="14"/>
  <c r="Y104" i="14"/>
  <c r="Y103" i="14"/>
  <c r="Y102" i="14"/>
  <c r="Y101" i="14"/>
  <c r="Y100" i="14"/>
  <c r="Y99" i="14"/>
  <c r="Y98" i="14"/>
  <c r="Y97" i="14"/>
  <c r="Y96" i="14"/>
  <c r="Y95" i="14"/>
  <c r="Y94" i="14"/>
  <c r="Y93" i="14"/>
  <c r="Y92" i="14"/>
  <c r="Y91" i="14"/>
  <c r="Y90" i="14"/>
  <c r="Y89" i="14"/>
  <c r="Y88" i="14"/>
  <c r="Y87" i="14"/>
  <c r="T121" i="14"/>
  <c r="T120" i="14"/>
  <c r="T119" i="14"/>
  <c r="T118" i="14"/>
  <c r="T117" i="14"/>
  <c r="T116" i="14"/>
  <c r="T115" i="14"/>
  <c r="T114" i="14"/>
  <c r="T113" i="14"/>
  <c r="T112" i="14"/>
  <c r="T111" i="14"/>
  <c r="T110" i="14"/>
  <c r="T109" i="14"/>
  <c r="T108" i="14"/>
  <c r="T107" i="14"/>
  <c r="T106" i="14"/>
  <c r="T105" i="14"/>
  <c r="T104" i="14"/>
  <c r="T103" i="14"/>
  <c r="T102" i="14"/>
  <c r="T101" i="14"/>
  <c r="T100" i="14"/>
  <c r="T99" i="14"/>
  <c r="T98" i="14"/>
  <c r="T97" i="14"/>
  <c r="T96" i="14"/>
  <c r="T95" i="14"/>
  <c r="T94" i="14"/>
  <c r="T93" i="14"/>
  <c r="T92" i="14"/>
  <c r="T91" i="14"/>
  <c r="T90" i="14"/>
  <c r="T89" i="14"/>
  <c r="T88" i="14"/>
  <c r="T87"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B64" i="14"/>
  <c r="H66" i="14"/>
  <c r="H72" i="14"/>
  <c r="U83" i="14" s="1"/>
  <c r="AQ121" i="14"/>
  <c r="AQ120" i="14"/>
  <c r="AQ119" i="14"/>
  <c r="AQ118" i="14"/>
  <c r="AQ117" i="14"/>
  <c r="AQ116" i="14"/>
  <c r="AQ115" i="14"/>
  <c r="AQ114" i="14"/>
  <c r="AQ113" i="14"/>
  <c r="AQ112" i="14"/>
  <c r="AQ111" i="14"/>
  <c r="AQ110" i="14"/>
  <c r="AQ109" i="14"/>
  <c r="AQ108" i="14"/>
  <c r="AQ107" i="14"/>
  <c r="AQ106" i="14"/>
  <c r="AQ105" i="14"/>
  <c r="AQ104" i="14"/>
  <c r="AQ103" i="14"/>
  <c r="AQ102" i="14"/>
  <c r="AQ101" i="14"/>
  <c r="AQ100" i="14"/>
  <c r="AQ99" i="14"/>
  <c r="AQ98" i="14"/>
  <c r="AQ97" i="14"/>
  <c r="AQ96" i="14"/>
  <c r="AQ95" i="14"/>
  <c r="AQ94" i="14"/>
  <c r="AQ93" i="14"/>
  <c r="AQ92" i="14"/>
  <c r="AQ91" i="14"/>
  <c r="AQ90" i="14"/>
  <c r="AQ89" i="14"/>
  <c r="AQ88" i="14"/>
  <c r="AL121" i="14"/>
  <c r="AL120" i="14"/>
  <c r="AL119" i="14"/>
  <c r="AL118" i="14"/>
  <c r="AL117" i="14"/>
  <c r="AL116" i="14"/>
  <c r="AL115" i="14"/>
  <c r="AL114" i="14"/>
  <c r="AL113" i="14"/>
  <c r="AL112" i="14"/>
  <c r="AL111" i="14"/>
  <c r="AL110" i="14"/>
  <c r="AL109" i="14"/>
  <c r="AL108" i="14"/>
  <c r="AL107" i="14"/>
  <c r="AL106" i="14"/>
  <c r="AL105" i="14"/>
  <c r="AL104" i="14"/>
  <c r="AL103" i="14"/>
  <c r="AL102" i="14"/>
  <c r="AL101" i="14"/>
  <c r="AL100" i="14"/>
  <c r="AL99" i="14"/>
  <c r="AL98" i="14"/>
  <c r="AL97" i="14"/>
  <c r="AL96" i="14"/>
  <c r="AL95" i="14"/>
  <c r="AL94" i="14"/>
  <c r="AL93" i="14"/>
  <c r="AL92" i="14"/>
  <c r="AL91" i="14"/>
  <c r="AL90" i="14"/>
  <c r="AL89" i="14"/>
  <c r="AL88" i="14"/>
  <c r="AL87" i="14"/>
  <c r="AG121" i="14"/>
  <c r="AG120" i="14"/>
  <c r="AG119" i="14"/>
  <c r="AG118" i="14"/>
  <c r="AG117" i="14"/>
  <c r="AG116" i="14"/>
  <c r="AG115" i="14"/>
  <c r="AG114" i="14"/>
  <c r="AG113" i="14"/>
  <c r="AG112" i="14"/>
  <c r="AG111" i="14"/>
  <c r="AG110" i="14"/>
  <c r="AG109" i="14"/>
  <c r="AG108" i="14"/>
  <c r="AG107" i="14"/>
  <c r="AG106" i="14"/>
  <c r="AG105" i="14"/>
  <c r="AG104" i="14"/>
  <c r="AG103" i="14"/>
  <c r="AG102" i="14"/>
  <c r="AG101" i="14"/>
  <c r="AG100" i="14"/>
  <c r="AG99" i="14"/>
  <c r="AG98" i="14"/>
  <c r="AG97" i="14"/>
  <c r="AG96" i="14"/>
  <c r="AG95" i="14"/>
  <c r="AG94" i="14"/>
  <c r="AG93" i="14"/>
  <c r="AG92" i="14"/>
  <c r="AG91" i="14"/>
  <c r="AG90" i="14"/>
  <c r="AG89" i="14"/>
  <c r="AG88" i="14"/>
  <c r="AG87"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2" i="14"/>
  <c r="W91" i="14"/>
  <c r="W90" i="14"/>
  <c r="W89" i="14"/>
  <c r="W88" i="14"/>
  <c r="W87"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J121" i="14"/>
  <c r="J120" i="14"/>
  <c r="J119" i="14"/>
  <c r="J118"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H114" i="14"/>
  <c r="H113" i="14"/>
  <c r="H112" i="14"/>
  <c r="H111" i="14"/>
  <c r="H110" i="14"/>
  <c r="H115" i="14"/>
  <c r="H109" i="14"/>
  <c r="H108" i="14"/>
  <c r="H107" i="14"/>
  <c r="H121" i="14"/>
  <c r="H120" i="14"/>
  <c r="H119" i="14"/>
  <c r="H118" i="14"/>
  <c r="H117" i="14"/>
  <c r="H116" i="14"/>
  <c r="H106" i="14"/>
  <c r="H105" i="14"/>
  <c r="M87" i="14"/>
  <c r="H104" i="14"/>
  <c r="H103" i="14"/>
  <c r="H102" i="14"/>
  <c r="H101" i="14"/>
  <c r="H100" i="14"/>
  <c r="H99" i="14"/>
  <c r="H98" i="14"/>
  <c r="H97" i="14"/>
  <c r="H96" i="14"/>
  <c r="H95" i="14"/>
  <c r="H94" i="14"/>
  <c r="H93" i="14"/>
  <c r="H92" i="14"/>
  <c r="H91" i="14"/>
  <c r="H90" i="14"/>
  <c r="H89" i="14"/>
  <c r="H87" i="14"/>
  <c r="H88" i="14"/>
  <c r="B137" i="14" l="1"/>
  <c r="AJ58" i="14"/>
  <c r="B201" i="14" s="1"/>
  <c r="W129" i="14"/>
  <c r="AL129" i="14"/>
  <c r="Y129" i="14"/>
  <c r="AN129" i="14"/>
  <c r="AG129" i="14"/>
  <c r="T129" i="14"/>
  <c r="AS129" i="14"/>
  <c r="J129" i="14"/>
  <c r="B131" i="14" s="1"/>
  <c r="B202" i="14" s="1"/>
  <c r="R129" i="14"/>
  <c r="H129" i="14"/>
  <c r="M129" i="14"/>
  <c r="AB129" i="14"/>
  <c r="O129" i="14"/>
  <c r="AI129" i="14"/>
  <c r="AD129" i="14"/>
  <c r="AQ129" i="14"/>
  <c r="J194" i="14"/>
  <c r="B143" i="14" l="1"/>
  <c r="B204" i="14" s="1"/>
  <c r="B132" i="14"/>
  <c r="B20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Unknown</author>
  </authors>
  <commentList>
    <comment ref="Q29" authorId="0" shapeId="0" xr:uid="{00000000-0006-0000-0000-000001000000}">
      <text>
        <r>
          <rPr>
            <b/>
            <sz val="9"/>
            <color indexed="81"/>
            <rFont val="Tahoma"/>
            <family val="2"/>
          </rPr>
          <t>Afhankelijk van uw computerinstellingen kunnen bovenaan uw scherm de beveiligingswaarschuwingen 'Inhoud inschakelen' en 'Bewerken inschakelen' worden getoond. Klik in dat geval altijd op die knoppen. Zo verlopen alle bewerkingen in dit formulier automatisch en correct.</t>
        </r>
      </text>
    </comment>
  </commentList>
</comments>
</file>

<file path=xl/sharedStrings.xml><?xml version="1.0" encoding="utf-8"?>
<sst xmlns="http://schemas.openxmlformats.org/spreadsheetml/2006/main" count="2765" uniqueCount="1651">
  <si>
    <t>Zoniën</t>
  </si>
  <si>
    <t>Maas en Kempen</t>
  </si>
  <si>
    <t>De Rand - Ned</t>
  </si>
  <si>
    <t>sOm</t>
  </si>
  <si>
    <t>CEL</t>
  </si>
  <si>
    <t>Noordring</t>
  </si>
  <si>
    <t>Onafhankelijke Methodescholen</t>
  </si>
  <si>
    <t>SG De Maneblussers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</si>
  <si>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</si>
  <si>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</si>
  <si>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</si>
  <si>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</si>
  <si>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</si>
  <si>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</si>
  <si>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</si>
  <si>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</si>
  <si>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</si>
  <si>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</si>
  <si>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</si>
  <si>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</si>
  <si>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</si>
  <si>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</si>
  <si>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</si>
  <si>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</si>
  <si>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</si>
  <si>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</si>
  <si>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</si>
  <si>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</si>
  <si>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</si>
  <si>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</si>
  <si>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</si>
  <si>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</si>
  <si>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</si>
  <si>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</si>
  <si>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</si>
  <si>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</si>
  <si>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</si>
  <si>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</si>
  <si>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</si>
  <si>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Het aantal lestijden (LT) wordt automatisch berekend, alsook de wijzigingen van het aantal AN in + of - ten opzichte van de vorige berekeningsdatum. Nulwaarden worden als blanco opgenomen.</t>
  </si>
  <si>
    <t>Bereken het totale aantal lestijden voor gewezen anderstalige nieuwkomers (GAN) op de eerste schooldag van oktober.</t>
  </si>
  <si>
    <t>schooljaar 2011-2012</t>
  </si>
  <si>
    <t>schooljaar 2012-2013</t>
  </si>
  <si>
    <t>schooljaar 2014-2015</t>
  </si>
  <si>
    <t>schooljaar 2015-2016</t>
  </si>
  <si>
    <t>schooljaar 2016-2017</t>
  </si>
  <si>
    <t>schooljaar 2017-2018</t>
  </si>
  <si>
    <t>Agentschap voor Onderwijsdiensten</t>
  </si>
  <si>
    <t>Waarvoor dient dit formulier?</t>
  </si>
  <si>
    <t>postnummer en gemeente</t>
  </si>
  <si>
    <t>Vul de begindatum van de daling in.</t>
  </si>
  <si>
    <t>Vul de begindatum van de stijging in.</t>
  </si>
  <si>
    <t>Gegevens van de scholengemeenschap</t>
  </si>
  <si>
    <t>Vul de gegevens van de scholengemeenschap in.</t>
  </si>
  <si>
    <t>naam van de contactschool</t>
  </si>
  <si>
    <t>Berekening van het aantal anderstalige nieuwkomers</t>
  </si>
  <si>
    <t>naam van de scholengemeenschap</t>
  </si>
  <si>
    <t>AN</t>
  </si>
  <si>
    <t>Waar vindt u meer informatie over dit formulier?</t>
  </si>
  <si>
    <t>Waarom vult u dit formulier in Excel in?</t>
  </si>
  <si>
    <t>straat en nummer</t>
  </si>
  <si>
    <t>Kruis aan welk soort aanvraag u indient.</t>
  </si>
  <si>
    <t xml:space="preserve">Vul de begindatum van de eerste aanvraag in. </t>
  </si>
  <si>
    <t>Bereken het aantal lestijden voor anderstalige nieuwkomers (AN) op de datum van de wijziging.</t>
  </si>
  <si>
    <t>Eerste aanvraag met minstens twaalf anderstalige nieuwkomers</t>
  </si>
  <si>
    <t>Daling van het aantal anderstalige nieuwkomers tot minder dan vier</t>
  </si>
  <si>
    <t>nummer instelling</t>
  </si>
  <si>
    <t>LT</t>
  </si>
  <si>
    <t>+/-</t>
  </si>
  <si>
    <t>totalen</t>
  </si>
  <si>
    <t>schooljaar 2013-2014</t>
  </si>
  <si>
    <t>aantal GAN</t>
  </si>
  <si>
    <t>aantal lestijden</t>
  </si>
  <si>
    <t>nummer van de scholengemeenschap</t>
  </si>
  <si>
    <t>nummer van de contactschool</t>
  </si>
  <si>
    <t>telefoonnummer</t>
  </si>
  <si>
    <t>Nexus Gandae</t>
  </si>
  <si>
    <t>datum =&gt;</t>
  </si>
  <si>
    <t>Reële stijging van het aantal anderstalige nieuwkomers met vier of meer</t>
  </si>
  <si>
    <t>nummer school</t>
  </si>
  <si>
    <t>Mandel - Leie</t>
  </si>
  <si>
    <t>St.-Hubertus</t>
  </si>
  <si>
    <t>Scholengemeenschap SUR+</t>
  </si>
  <si>
    <t>KODB vzw</t>
  </si>
  <si>
    <t>KT-scholengroep</t>
  </si>
  <si>
    <t>Erika Houthalen-Helchteren</t>
  </si>
  <si>
    <t>BoKaLoRe</t>
  </si>
  <si>
    <t>De KuBus</t>
  </si>
  <si>
    <t>SGH² Ham-Heppen</t>
  </si>
  <si>
    <t>KODIEKO</t>
  </si>
  <si>
    <t>Kust en Polder</t>
  </si>
  <si>
    <t>SG Halen/Herk-de-Stad</t>
  </si>
  <si>
    <t>Stedelijk Onderwijs Geel</t>
  </si>
  <si>
    <t>Strand en Polder</t>
  </si>
  <si>
    <t>De Voorkempen</t>
  </si>
  <si>
    <t>Ringscholen</t>
  </si>
  <si>
    <t>BRUNO</t>
  </si>
  <si>
    <t>De negensprong</t>
  </si>
  <si>
    <t>Vrij Onderwijs Zele</t>
  </si>
  <si>
    <t>Hageland</t>
  </si>
  <si>
    <t>Gemeentescholen Grimbergen</t>
  </si>
  <si>
    <t>St-Michiel</t>
  </si>
  <si>
    <t>Basisscholen Heilig Graf</t>
  </si>
  <si>
    <t>Gemeentescholen Zwevegem</t>
  </si>
  <si>
    <t>De 4 winden</t>
  </si>
  <si>
    <t>De Leiebrug</t>
  </si>
  <si>
    <t>De Balk</t>
  </si>
  <si>
    <t>De Zaaier</t>
  </si>
  <si>
    <t>De Kreken</t>
  </si>
  <si>
    <t>De Schakel</t>
  </si>
  <si>
    <t>Stedelijk Basisonderwijs Aalst</t>
  </si>
  <si>
    <t>Gemeente Zoersel</t>
  </si>
  <si>
    <t>Vrije Basisonderwijs Puurs en St-Amands</t>
  </si>
  <si>
    <t>LOV</t>
  </si>
  <si>
    <t>Vrij Basisonderwijs Voorkempen</t>
  </si>
  <si>
    <t>SCHOT</t>
  </si>
  <si>
    <t>Ravels-Weelde</t>
  </si>
  <si>
    <t>Midden-Vlaams-Brabant</t>
  </si>
  <si>
    <t>Grootbos-aan-Zee</t>
  </si>
  <si>
    <t>Lot-Huizingen-Dworp-Alsemberg</t>
  </si>
  <si>
    <t>Kastze</t>
  </si>
  <si>
    <t>Basisscholen KVO</t>
  </si>
  <si>
    <t>De Graankorrel</t>
  </si>
  <si>
    <t>Westhoek 28</t>
  </si>
  <si>
    <t>NOVUS</t>
  </si>
  <si>
    <t>De Zevensprong</t>
  </si>
  <si>
    <t>Staho</t>
  </si>
  <si>
    <t>Steinerscholen Basisonderwijs</t>
  </si>
  <si>
    <t>Driespan</t>
  </si>
  <si>
    <t>Brasschaat-Kapellen-Stabroek</t>
  </si>
  <si>
    <t>Ieper-Rand-Heuvelland</t>
  </si>
  <si>
    <t>Vrije Basisscholen Wuustwezel</t>
  </si>
  <si>
    <t>TUMULI</t>
  </si>
  <si>
    <t>De Toverkijker</t>
  </si>
  <si>
    <t>Noordwest-Brabant</t>
  </si>
  <si>
    <t>KHAMSA</t>
  </si>
  <si>
    <t>Het Vlakke Land</t>
  </si>
  <si>
    <t>Spectrum</t>
  </si>
  <si>
    <t>De Link</t>
  </si>
  <si>
    <t>Gemeentelijk onderwijs Grens</t>
  </si>
  <si>
    <t>Basisonderwijs Anderlecht</t>
  </si>
  <si>
    <t>Arkorum</t>
  </si>
  <si>
    <t>De Wijngaard</t>
  </si>
  <si>
    <t>Jong Markdal</t>
  </si>
  <si>
    <t>Scholengroep Rivierenland</t>
  </si>
  <si>
    <t>Schelde- en Denderland</t>
  </si>
  <si>
    <t>Sint-Vincentius</t>
  </si>
  <si>
    <t>De Oostkant</t>
  </si>
  <si>
    <t>De Zevenster</t>
  </si>
  <si>
    <t>Vlaamse Ardennen</t>
  </si>
  <si>
    <t>Katholiek Onderwijs St-Trudo</t>
  </si>
  <si>
    <t>Goezo</t>
  </si>
  <si>
    <t>Beerse</t>
  </si>
  <si>
    <t>De Kollebloeme</t>
  </si>
  <si>
    <t>HATWEEJO</t>
  </si>
  <si>
    <t>Saeftinghe</t>
  </si>
  <si>
    <t>Hopsasa</t>
  </si>
  <si>
    <t>Gruuthuse</t>
  </si>
  <si>
    <t>Basisonderwijs Roeselare</t>
  </si>
  <si>
    <t>C.D.I.</t>
  </si>
  <si>
    <t>Scheldeland</t>
  </si>
  <si>
    <t>De zevensprong</t>
  </si>
  <si>
    <t>Sint-Jan&amp;Visitatie</t>
  </si>
  <si>
    <t>Klavertje 4</t>
  </si>
  <si>
    <t>Vrij Katholiek Basisonderwijs Ronse</t>
  </si>
  <si>
    <t>KaBoe</t>
  </si>
  <si>
    <t>KSTS</t>
  </si>
  <si>
    <t>Scholengemeenschap Meetjesland</t>
  </si>
  <si>
    <t>Schelde Dender Durme</t>
  </si>
  <si>
    <t>Kruizinga</t>
  </si>
  <si>
    <t>Basisonderwijs Meetjesland</t>
  </si>
  <si>
    <t>Land van Rhode</t>
  </si>
  <si>
    <t>Gemeentescholen Evergem</t>
  </si>
  <si>
    <t>Zwalmvallei</t>
  </si>
  <si>
    <t>Wachtebeke - Zelzate</t>
  </si>
  <si>
    <t>S M S</t>
  </si>
  <si>
    <t>BreSleGo</t>
  </si>
  <si>
    <t>LIVO</t>
  </si>
  <si>
    <t>Boemerang</t>
  </si>
  <si>
    <t>G-8</t>
  </si>
  <si>
    <t>Mater Dei</t>
  </si>
  <si>
    <t>De Roos</t>
  </si>
  <si>
    <t>JOVIGROJO</t>
  </si>
  <si>
    <t>Katholiek Basisonderwijs Essen</t>
  </si>
  <si>
    <t>MEV-PluS</t>
  </si>
  <si>
    <t>Prins Boudewijn</t>
  </si>
  <si>
    <t>Vrije Basisscholen Kalmthout</t>
  </si>
  <si>
    <t>vzw Katholiek Onderwijs Deurne</t>
  </si>
  <si>
    <t>Kaleidoscoop</t>
  </si>
  <si>
    <t>NoordrAnt</t>
  </si>
  <si>
    <t>De 3 Neten</t>
  </si>
  <si>
    <t>Pagadder</t>
  </si>
  <si>
    <t>Scholen aan de Nete</t>
  </si>
  <si>
    <t>Taxandria</t>
  </si>
  <si>
    <t>Klaveren 7</t>
  </si>
  <si>
    <t>Kansrijk</t>
  </si>
  <si>
    <t>K.O.R.Z.O.</t>
  </si>
  <si>
    <t>Zoniënrand</t>
  </si>
  <si>
    <t>1080</t>
  </si>
  <si>
    <t>Interlokale Vereniging Anker</t>
  </si>
  <si>
    <t>BaO KOSH</t>
  </si>
  <si>
    <t>NoordRand</t>
  </si>
  <si>
    <t>LBB</t>
  </si>
  <si>
    <t>B-ADITE</t>
  </si>
  <si>
    <t>Basisonderwijs Brussel</t>
  </si>
  <si>
    <t>DONCHE</t>
  </si>
  <si>
    <t>Vul per berekeningsdatum het totale aantal anderstalige nieuwkomers in dat u per school op dat moment hebt. Vul ook alle vorige berekeningsdatums in en het aantal AN per school dat u op die datums had.</t>
  </si>
  <si>
    <t xml:space="preserve">U vindt een voorbeeld als bijlage nr. 3 bij de omzendbrief. Bekijk dat voorbeeld voor u de onderstaande tabel invult.   </t>
  </si>
  <si>
    <t xml:space="preserve">Alle eventuele foutmeldingen zullen pas verdwijnen als u de onderstaande tabel volledig hebt ingevuld en als u de instructies in de foutmeldingen hebt gevolgd. </t>
  </si>
  <si>
    <t>Sint-Goedele Brussel Basisonderwijs 2</t>
  </si>
  <si>
    <t>Sint-Nicolaas Noord</t>
  </si>
  <si>
    <t>Katholieke Basisscholen Neerpelt</t>
  </si>
  <si>
    <t>Katholiek Basisonderwijs Hamont-Achel</t>
  </si>
  <si>
    <t>Alken-Diepenbeek-Kortessem-Nieuwerkerken</t>
  </si>
  <si>
    <t>Vrije Basisscholen Maasmechelen-Noord</t>
  </si>
  <si>
    <t>Stedelijk Basisonderwijs Roeselare</t>
  </si>
  <si>
    <t>Gemeentelijk Basisonderwijs Lokeren-Zele</t>
  </si>
  <si>
    <t>Stedelijke Basisscholen Hasselt</t>
  </si>
  <si>
    <t>Vrije Basisscholen Groot Bornem</t>
  </si>
  <si>
    <t>Katholieke Basisscholen Maldegem</t>
  </si>
  <si>
    <t>Gemeentelijke Basisscholen Balen</t>
  </si>
  <si>
    <t>Gemeentelijk Onderwijs Kortenberg</t>
  </si>
  <si>
    <t>Basisscholen St-Lodewijkscollege Brugge</t>
  </si>
  <si>
    <t>Katholieke Basisscholen Kortrijk</t>
  </si>
  <si>
    <t>Basisonderwijs Kortrijk - Menen</t>
  </si>
  <si>
    <t>Sint-Nicolaas BaO Zuid</t>
  </si>
  <si>
    <t>Vrije Basisscholen Dender-Noord</t>
  </si>
  <si>
    <t>Katholiek Basisonderwijs Hoboken</t>
  </si>
  <si>
    <t>Katholiek Basisonderwijs K(w)ALITI</t>
  </si>
  <si>
    <t>Sint-Goedele Brussel Basisonderwijs 1</t>
  </si>
  <si>
    <t>Stedelijk Basisonderwijs Waregem</t>
  </si>
  <si>
    <t>Gemeentelijke Basisscholen Asse</t>
  </si>
  <si>
    <t>Afdeling Basisonderwijs, DKO en CLB</t>
  </si>
  <si>
    <t>AV046</t>
  </si>
  <si>
    <t>Zuid-Oost-Limburg</t>
  </si>
  <si>
    <t>schooljaar 2018-2019</t>
  </si>
  <si>
    <t>schooljaar 2019-2020</t>
  </si>
  <si>
    <t>schooljaar 2020-2021</t>
  </si>
  <si>
    <t>schooljaar 2021-2022</t>
  </si>
  <si>
    <t>schooljaar 2022-2023</t>
  </si>
  <si>
    <t>schooljaar 2023-2024</t>
  </si>
  <si>
    <t>SCOOP</t>
  </si>
  <si>
    <t>SG De Sterrenplukkers</t>
  </si>
  <si>
    <t>Scholen en leerlingen</t>
  </si>
  <si>
    <t>32</t>
  </si>
  <si>
    <t>33</t>
  </si>
  <si>
    <t>34</t>
  </si>
  <si>
    <t>35</t>
  </si>
  <si>
    <t>Katholieke basisscholen Schoten</t>
  </si>
  <si>
    <t>SCHOLENGROEP STROOM</t>
  </si>
  <si>
    <t>BaO Leuven-Tienen-Landen</t>
  </si>
  <si>
    <t>Katholiek Basisonderwijs Lede</t>
  </si>
  <si>
    <t>Hoe en aan wie bezorgt u dit formulier?</t>
  </si>
  <si>
    <t>Nr_SG</t>
  </si>
  <si>
    <t>langeNaam</t>
  </si>
  <si>
    <t>NummerContact</t>
  </si>
  <si>
    <t>korte_naam_instell</t>
  </si>
  <si>
    <t>Adres</t>
  </si>
  <si>
    <t>postnummer</t>
  </si>
  <si>
    <t>naam_gemeente</t>
  </si>
  <si>
    <t>sbt_behandelaar</t>
  </si>
  <si>
    <t>sbtBeh_Email</t>
  </si>
  <si>
    <t>36</t>
  </si>
  <si>
    <t>Leopoldsburg-Lummen</t>
  </si>
  <si>
    <t>VZW Katholiek Basisonderwijs Meeuwen-Gruitrode</t>
  </si>
  <si>
    <t>RIEVOE</t>
  </si>
  <si>
    <t>Pit.</t>
  </si>
  <si>
    <t>KBM-Z</t>
  </si>
  <si>
    <t>Katholiek Basisonderwijs Tessenderlo</t>
  </si>
  <si>
    <t>Katholiek Basisonderwijs Lanaken</t>
  </si>
  <si>
    <t>Scholengemeenschap Baisonderwijs Opglabbeek - Gerdingen</t>
  </si>
  <si>
    <t>Sint-Gillis-Waas/Stekene/Waasmunster</t>
  </si>
  <si>
    <t>Katholieke Basisscholen Waasland Noord</t>
  </si>
  <si>
    <t>SEPTEM - Katholieke scholen gemeenschap Groot-Evergem</t>
  </si>
  <si>
    <t>KatOBASIS</t>
  </si>
  <si>
    <t>Katholiek Basisonderwijs KITOS</t>
  </si>
  <si>
    <t>Zuidwest - Pajottenland</t>
  </si>
  <si>
    <t>Scholengemeenschap Katholiek Basisonderwijs Heule Kuurne</t>
  </si>
  <si>
    <t>Prizma Basis</t>
  </si>
  <si>
    <t>vzw Katholiek Basisonderwijs Harelbeke</t>
  </si>
  <si>
    <t>Basisonderwijs Gavere/Merelbeke interl. vereniging</t>
  </si>
  <si>
    <t>Sint-Jan-de-Doper</t>
  </si>
  <si>
    <t>VZW Scholengemeenschap Ferdinand Verbiest</t>
  </si>
  <si>
    <t>De Brug Katholieke basisscholen Zwevegem en Sint-Lodewijk Deerlijk</t>
  </si>
  <si>
    <t>Scholengemeenschap KOMop</t>
  </si>
  <si>
    <t>KOBA Zuiderkempen</t>
  </si>
  <si>
    <t>SG Stedelijk basisonderwijs Antwerpen - Noord 1</t>
  </si>
  <si>
    <t>SG Stedelijk basisonderwijs Antwerpen - Oost</t>
  </si>
  <si>
    <t>SG Stedelijk basisonderwijs Antwerpen - Noord 2</t>
  </si>
  <si>
    <t>SG Stedelijk basisonderwijs Antwerpen - West</t>
  </si>
  <si>
    <t>SG Stedelijk basisonderwijs Antwerpen - Zuid</t>
  </si>
  <si>
    <t>Scholengemeenschap Sint-Amandsbasisscholen Kortrijk</t>
  </si>
  <si>
    <t>Guldenberg</t>
  </si>
  <si>
    <t>Linco</t>
  </si>
  <si>
    <t>KOMO</t>
  </si>
  <si>
    <t>Katholiek Basisonderwijs Geraardsbergen-Deftinge</t>
  </si>
  <si>
    <t>De PLaNeTen (Gemeentelijke basisscholen De Pinte - Nevele - St-Martens-Latem)</t>
  </si>
  <si>
    <t>Scholengemeenschap GO Basisonderwijs Fluxus regio Kempen</t>
  </si>
  <si>
    <t>MERK.</t>
  </si>
  <si>
    <t>HESBANIA-HEWEBO</t>
  </si>
  <si>
    <t>BeHoRo</t>
  </si>
  <si>
    <t>De Pajot</t>
  </si>
  <si>
    <t>Rembert Basis</t>
  </si>
  <si>
    <t>KBO De Wegwijzer</t>
  </si>
  <si>
    <t>CKSA BaO Drie</t>
  </si>
  <si>
    <t>vzw Katholieke Basisscholen regio Poperinge</t>
  </si>
  <si>
    <t>Moorsledegem</t>
  </si>
  <si>
    <t>GO! Basisonderwijs Fluxus regio Lier-Mortsel-Edegem</t>
  </si>
  <si>
    <t>Scholengemeenschap BaO Impact</t>
  </si>
  <si>
    <t>Scholengemeenschap Vrij Basisonderwijs van A tot Zee</t>
  </si>
  <si>
    <t>9 Beaufort</t>
  </si>
  <si>
    <t>Gemeentelijke gemengde basisscholen Hoogstraten</t>
  </si>
  <si>
    <t>Kruispunt</t>
  </si>
  <si>
    <t>DE PUZZEL</t>
  </si>
  <si>
    <t>PoelbergOmmeland</t>
  </si>
  <si>
    <t>Katholiek Basisonderwijs Schelde-Leie</t>
  </si>
  <si>
    <t>De Archipel</t>
  </si>
  <si>
    <t>EDUGO Basisscholen</t>
  </si>
  <si>
    <t>Stedelijke Basisscholen Ninove - Geni</t>
  </si>
  <si>
    <t>Katholiek Basisonderwijs Lokeren en Moerbeke-Waas</t>
  </si>
  <si>
    <t>Katholiek Basisonderwijs "Vlaamse Ardennen"</t>
  </si>
  <si>
    <t>Basisscholen Dender</t>
  </si>
  <si>
    <t>Katholiek Gewoon &amp; Buitengewoon Basis Oudenaarde</t>
  </si>
  <si>
    <t>SGE BaO Vlaamse Ardennen</t>
  </si>
  <si>
    <t>Scholengemeenschap gemeentelijk basisonderwijs Beveren-Kruibeke</t>
  </si>
  <si>
    <t>KOW - St.-Lodewijk Wetteren en Tussenbeke</t>
  </si>
  <si>
    <t>KEI Beveren</t>
  </si>
  <si>
    <t>Katholieke scholengemeenschap Rhode-Schelde</t>
  </si>
  <si>
    <t>Katholiek Onderwijs Hamme Basisonderwijs</t>
  </si>
  <si>
    <t>Gemeenschapsonderwijs Zuid-Oost-Vlaanderen</t>
  </si>
  <si>
    <t>Hartencollege Basisonderwijs Ninove</t>
  </si>
  <si>
    <t>Vrij Basisonderwijs Denderland</t>
  </si>
  <si>
    <t>Basisonderwijs Scholengroep 17Waas</t>
  </si>
  <si>
    <t>Op Weg</t>
  </si>
  <si>
    <t>Reinaert</t>
  </si>
  <si>
    <t>Scholengemeenschap Meander</t>
  </si>
  <si>
    <t>Gemeentelijk Onderwijs ScheldeLeie</t>
  </si>
  <si>
    <t>Briljant Basisonderwijs</t>
  </si>
  <si>
    <t>TROTS</t>
  </si>
  <si>
    <t>Scholengemeenschap BAVO</t>
  </si>
  <si>
    <t>Diamant</t>
  </si>
  <si>
    <t>Samenspel</t>
  </si>
  <si>
    <t>Ankerwijs</t>
  </si>
  <si>
    <t>De Ark</t>
  </si>
  <si>
    <t>GO! Antwerpen Scholengemeenschap Noord</t>
  </si>
  <si>
    <t>BOS - Beter Onderwijs Samen</t>
  </si>
  <si>
    <t>GO! Antwerpen Scholengemeenschap Centrum</t>
  </si>
  <si>
    <t>BLOM</t>
  </si>
  <si>
    <t>Archipel</t>
  </si>
  <si>
    <t>KIOBASIS</t>
  </si>
  <si>
    <t>Meise</t>
  </si>
  <si>
    <t>SGE BRUSSELIA I</t>
  </si>
  <si>
    <t>Invento GO] Scholengroep 3</t>
  </si>
  <si>
    <t>Scholen met de Bijbel</t>
  </si>
  <si>
    <t>Samen voor Beter</t>
  </si>
  <si>
    <t>POLARIS</t>
  </si>
  <si>
    <t>Scholengemeenschap Katholiek Basisonderwijs Genk de Speling</t>
  </si>
  <si>
    <t>Zonhoven</t>
  </si>
  <si>
    <t>Gemeentelijke scholen Houthalen-Helchteren</t>
  </si>
  <si>
    <t>Antwerpen Oost BaO</t>
  </si>
  <si>
    <t>Gemeentelijk en Vrij Basisonderwijs Kinrooi</t>
  </si>
  <si>
    <t>Kleurrijk</t>
  </si>
  <si>
    <t>Ignatius Rand</t>
  </si>
  <si>
    <t>Katholiek Basisonderwijs Melsele Kieldrecht Verrebroek</t>
  </si>
  <si>
    <t>RAND-FR</t>
  </si>
  <si>
    <t>Stedelijk Basisonderwijs Sint-Niklaas</t>
  </si>
  <si>
    <t>Pieter - Frans</t>
  </si>
  <si>
    <t>SGE BRUSSELIA II</t>
  </si>
  <si>
    <t>Stedelijk Onderwijs Vilvoorde</t>
  </si>
  <si>
    <t>Horta</t>
  </si>
  <si>
    <t>Katholiek Basisonderwijs GE-NEGEN</t>
  </si>
  <si>
    <t>* Klas *</t>
  </si>
  <si>
    <t>Interlokale vereniging Londerzeel - Kapelle-op-den-Bos</t>
  </si>
  <si>
    <t>BSGOWAM</t>
  </si>
  <si>
    <t>SGE BRUSSELIA III</t>
  </si>
  <si>
    <t>KADANZ</t>
  </si>
  <si>
    <t>Kinderkosmos +</t>
  </si>
  <si>
    <t>INIGO - Ignatiaanse basisscholen</t>
  </si>
  <si>
    <t>Scholengemeenschap Sint-Franciscus</t>
  </si>
  <si>
    <t>Scholengemeenschap Kaprijke-Lievegem</t>
  </si>
  <si>
    <t>GO! Antwerpen Scholengemeenschap Zuid</t>
  </si>
  <si>
    <t>AmpersANT</t>
  </si>
  <si>
    <t>Arcadia Basis</t>
  </si>
  <si>
    <t>SGE Brusselia IV</t>
  </si>
  <si>
    <t>SPOOR 6</t>
  </si>
  <si>
    <t>De Meander</t>
  </si>
  <si>
    <t>Scholengemeenschap GBS Leeuw</t>
  </si>
  <si>
    <t>CKSA Bao één</t>
  </si>
  <si>
    <t>CKSA Bao Twee</t>
  </si>
  <si>
    <t>Scholengemeenschap BaO SZL13 - Oost</t>
  </si>
  <si>
    <t>SAMBA 2.0</t>
  </si>
  <si>
    <t>Scholengemeenschap BaO SZL13 - West</t>
  </si>
  <si>
    <t>SKOG Katholiek basisonderwijs Gent</t>
  </si>
  <si>
    <t>De Veerplank</t>
  </si>
  <si>
    <t>Sirius</t>
  </si>
  <si>
    <t>Scholengemeenschap gemeentescholen Dilbeek</t>
  </si>
  <si>
    <t>BOZA</t>
  </si>
  <si>
    <t>KORHA basis</t>
  </si>
  <si>
    <t>Scholengemeenschap Lucerna</t>
  </si>
  <si>
    <t>Katholieke basisscholen Regio Aalst</t>
  </si>
  <si>
    <t>Scholengemeenschap Merodebos</t>
  </si>
  <si>
    <t>Gegevens van de aanvraag</t>
  </si>
  <si>
    <t>Gent Bab(b)el</t>
  </si>
  <si>
    <t>TweeBergen</t>
  </si>
  <si>
    <t>Rohbke</t>
  </si>
  <si>
    <t>BasisBrugge</t>
  </si>
  <si>
    <t>Scholengemeenschap de 4sprong (Leuven-Hageland)</t>
  </si>
  <si>
    <t>De Kabass</t>
  </si>
  <si>
    <t>schooljaar 2024-2025</t>
  </si>
  <si>
    <t>schooljaar 2025-2026</t>
  </si>
  <si>
    <t>schooljaar 2026-2027</t>
  </si>
  <si>
    <t>Foutmeldingen</t>
  </si>
  <si>
    <t>Als het formulier nog onlogische of onvolledige vermeldingen bevat, vindt u daarvan hieronder een korte samenvatting.</t>
  </si>
  <si>
    <t>sbtBeh_Tel</t>
  </si>
  <si>
    <t>BRUSSEL</t>
  </si>
  <si>
    <t>Eline Van Weyenbergh</t>
  </si>
  <si>
    <t>02 553 00 49</t>
  </si>
  <si>
    <t>Karel Bogaerdstraat 4</t>
  </si>
  <si>
    <t>LAKEN</t>
  </si>
  <si>
    <t>SCHAARBEEK</t>
  </si>
  <si>
    <t>Edmond Mesenslaan 2</t>
  </si>
  <si>
    <t>ETTERBEEK</t>
  </si>
  <si>
    <t>SINT-GILLIS</t>
  </si>
  <si>
    <t>SINT-JANS-MOLENBEEK</t>
  </si>
  <si>
    <t>GANSHOREN</t>
  </si>
  <si>
    <t>Klein-Berchemstraat 1</t>
  </si>
  <si>
    <t>KOEKELBERG</t>
  </si>
  <si>
    <t>NEDER-OVER-HEEMBEEK</t>
  </si>
  <si>
    <t>SINT-PIETERS-WOLUWE</t>
  </si>
  <si>
    <t>UKKEL</t>
  </si>
  <si>
    <t>HALLE</t>
  </si>
  <si>
    <t>GO! BS Zilverberk</t>
  </si>
  <si>
    <t>Pastoor Bernaertsstraat 28</t>
  </si>
  <si>
    <t>SINT-PIETERS-LEEUW</t>
  </si>
  <si>
    <t>DILBEEK</t>
  </si>
  <si>
    <t>TERNAT</t>
  </si>
  <si>
    <t>Kleemputtenstraat 16</t>
  </si>
  <si>
    <t>LIEDEKERKE</t>
  </si>
  <si>
    <t>Samuel Puttemans</t>
  </si>
  <si>
    <t>02 553 30 10</t>
  </si>
  <si>
    <t>samuel.puttemans@ond.vlaanderen.be</t>
  </si>
  <si>
    <t>VILVOORDE</t>
  </si>
  <si>
    <t>GRIMBERGEN</t>
  </si>
  <si>
    <t>WOLVERTEM</t>
  </si>
  <si>
    <t>OPWIJK</t>
  </si>
  <si>
    <t>OVERIJSE</t>
  </si>
  <si>
    <t>ZAVENTEM</t>
  </si>
  <si>
    <t>TERVUREN</t>
  </si>
  <si>
    <t>HOEILAART</t>
  </si>
  <si>
    <t>ANTWERPEN</t>
  </si>
  <si>
    <t>Steffi Roelandt</t>
  </si>
  <si>
    <t>02 553 92 22</t>
  </si>
  <si>
    <t>steffi.roelandt@ond.vlaanderen.be</t>
  </si>
  <si>
    <t>Thonetlaan 106</t>
  </si>
  <si>
    <t>MERKSEM</t>
  </si>
  <si>
    <t>Kloosterstraat 39</t>
  </si>
  <si>
    <t>EKEREN</t>
  </si>
  <si>
    <t>GO! BS Irishof</t>
  </si>
  <si>
    <t>Kapelsestraat 37</t>
  </si>
  <si>
    <t>KAPELLEN</t>
  </si>
  <si>
    <t>WIJNEGEM</t>
  </si>
  <si>
    <t>SCHOTEN</t>
  </si>
  <si>
    <t>GO! BS Wonderwijs</t>
  </si>
  <si>
    <t>Augustijnslei 54</t>
  </si>
  <si>
    <t>BRASSCHAAT</t>
  </si>
  <si>
    <t>ZOERSEL</t>
  </si>
  <si>
    <t>WUUSTWEZEL</t>
  </si>
  <si>
    <t>KALMTHOUT</t>
  </si>
  <si>
    <t>ESSEN</t>
  </si>
  <si>
    <t>GO! BS 't Groen Schooltje</t>
  </si>
  <si>
    <t>NIJLEN</t>
  </si>
  <si>
    <t>GROBBENDONK</t>
  </si>
  <si>
    <t>TURNHOUT</t>
  </si>
  <si>
    <t>BEERSE</t>
  </si>
  <si>
    <t>RAVELS</t>
  </si>
  <si>
    <t>Guido Gezellestraat 10</t>
  </si>
  <si>
    <t>MOL</t>
  </si>
  <si>
    <t>HERENTALS</t>
  </si>
  <si>
    <t>GEEL</t>
  </si>
  <si>
    <t>BALEN</t>
  </si>
  <si>
    <t>LIER</t>
  </si>
  <si>
    <t>EDEGEM</t>
  </si>
  <si>
    <t>Boechoutsesteenweg 31</t>
  </si>
  <si>
    <t>HOVE</t>
  </si>
  <si>
    <t>WILRIJK</t>
  </si>
  <si>
    <t>An Bollaert</t>
  </si>
  <si>
    <t>02 553 59 76</t>
  </si>
  <si>
    <t>an.bollaert@ond.vlaanderen.be</t>
  </si>
  <si>
    <t>AARTSELAAR</t>
  </si>
  <si>
    <t>GO! BS De Linde</t>
  </si>
  <si>
    <t>Lindestraat 123_A</t>
  </si>
  <si>
    <t>BORNEM</t>
  </si>
  <si>
    <t>TEMSE</t>
  </si>
  <si>
    <t>SINT-NIKLAAS</t>
  </si>
  <si>
    <t>KRUIBEKE</t>
  </si>
  <si>
    <t>MECHELEN</t>
  </si>
  <si>
    <t>GO! BS De Spreeuwen</t>
  </si>
  <si>
    <t>KEERBERGEN</t>
  </si>
  <si>
    <t>GO! BS Alice Nahon</t>
  </si>
  <si>
    <t>Mechelbaan 559</t>
  </si>
  <si>
    <t>PUTTE</t>
  </si>
  <si>
    <t>HOFSTADE</t>
  </si>
  <si>
    <t>LEUVEN</t>
  </si>
  <si>
    <t>HEVERLEE</t>
  </si>
  <si>
    <t>HERSELT</t>
  </si>
  <si>
    <t>GO! BS De Kleine Prins</t>
  </si>
  <si>
    <t>DIEST</t>
  </si>
  <si>
    <t>Weerstandsplein 1</t>
  </si>
  <si>
    <t>TIENEN</t>
  </si>
  <si>
    <t>HASSELT</t>
  </si>
  <si>
    <t>ZONHOVEN</t>
  </si>
  <si>
    <t>HOUTHALEN-HELCHTEREN</t>
  </si>
  <si>
    <t>GO! BS Ter Duinen</t>
  </si>
  <si>
    <t>Rode Kruisplein 8</t>
  </si>
  <si>
    <t>HECHTEL</t>
  </si>
  <si>
    <t>PEER</t>
  </si>
  <si>
    <t>OUDSBERGEN</t>
  </si>
  <si>
    <t>PELT</t>
  </si>
  <si>
    <t>HAMONT-ACHEL</t>
  </si>
  <si>
    <t>BOCHOLT</t>
  </si>
  <si>
    <t>GENK</t>
  </si>
  <si>
    <t>Halmstraat 12</t>
  </si>
  <si>
    <t>MAASMECHELEN</t>
  </si>
  <si>
    <t>GO! BS De Lettertuin</t>
  </si>
  <si>
    <t>MAASEIK</t>
  </si>
  <si>
    <t>BREE</t>
  </si>
  <si>
    <t>TONGEREN</t>
  </si>
  <si>
    <t>BILZEN</t>
  </si>
  <si>
    <t>SINT-TRUIDEN</t>
  </si>
  <si>
    <t>LEOPOLDSBURG</t>
  </si>
  <si>
    <t>TESSENDERLO</t>
  </si>
  <si>
    <t>MEERHOUT</t>
  </si>
  <si>
    <t>GO! freinetschool De Boomhut</t>
  </si>
  <si>
    <t>OOSTKAMP</t>
  </si>
  <si>
    <t>ASSEBROEK</t>
  </si>
  <si>
    <t>LICHTERVELDE</t>
  </si>
  <si>
    <t>TORHOUT</t>
  </si>
  <si>
    <t>STADEN</t>
  </si>
  <si>
    <t>DIKSMUIDE</t>
  </si>
  <si>
    <t>GO! BS De Letterzee</t>
  </si>
  <si>
    <t>SINT-ANDRIES</t>
  </si>
  <si>
    <t>Ringlaan 18</t>
  </si>
  <si>
    <t>KOEKELARE</t>
  </si>
  <si>
    <t>OOSTENDE</t>
  </si>
  <si>
    <t>Albert Fastenaekelslaan 24</t>
  </si>
  <si>
    <t>KOKSIJDE</t>
  </si>
  <si>
    <t>VEURNE</t>
  </si>
  <si>
    <t>KORTRIJK</t>
  </si>
  <si>
    <t>Kalvariestraat 70</t>
  </si>
  <si>
    <t>MARKE</t>
  </si>
  <si>
    <t>LAUWE</t>
  </si>
  <si>
    <t>ZWEVEGEM</t>
  </si>
  <si>
    <t>DEERLIJK</t>
  </si>
  <si>
    <t>GO! BS De Wereldbrug</t>
  </si>
  <si>
    <t>WERVIK</t>
  </si>
  <si>
    <t>HARELBEKE</t>
  </si>
  <si>
    <t>WAREGEM</t>
  </si>
  <si>
    <t>Meersstraat 13</t>
  </si>
  <si>
    <t>ROESELARE</t>
  </si>
  <si>
    <t>TIELT</t>
  </si>
  <si>
    <t>IEPER</t>
  </si>
  <si>
    <t>POPERINGE</t>
  </si>
  <si>
    <t>GENT</t>
  </si>
  <si>
    <t>Goedlevenstraat 78</t>
  </si>
  <si>
    <t>OOSTAKKER</t>
  </si>
  <si>
    <t>EVERGEM</t>
  </si>
  <si>
    <t>ZELZATE</t>
  </si>
  <si>
    <t>GO! BS De Tandem</t>
  </si>
  <si>
    <t>STEKENE</t>
  </si>
  <si>
    <t>LOKEREN</t>
  </si>
  <si>
    <t>SINT-AMANDSBERG</t>
  </si>
  <si>
    <t>Verbindingsstraat 66</t>
  </si>
  <si>
    <t>HAMME</t>
  </si>
  <si>
    <t>WETTEREN</t>
  </si>
  <si>
    <t>DESTELBERGEN</t>
  </si>
  <si>
    <t>MERELBEKE</t>
  </si>
  <si>
    <t>AALST</t>
  </si>
  <si>
    <t>SINT-GILLIS-DENDERMONDE</t>
  </si>
  <si>
    <t>LEBBEKE</t>
  </si>
  <si>
    <t>NINOVE</t>
  </si>
  <si>
    <t>EREMBODEGEM</t>
  </si>
  <si>
    <t>DENDERLEEUW</t>
  </si>
  <si>
    <t>GERAARDSBERGEN</t>
  </si>
  <si>
    <t>Schoolstraat 4</t>
  </si>
  <si>
    <t>RONSE</t>
  </si>
  <si>
    <t>ZOTTEGEM</t>
  </si>
  <si>
    <t>Lyceumstraat 12</t>
  </si>
  <si>
    <t>Aalststraat 180</t>
  </si>
  <si>
    <t>OUDENAARDE</t>
  </si>
  <si>
    <t>DE PINTE</t>
  </si>
  <si>
    <t>KRUISEM</t>
  </si>
  <si>
    <t>DEINZE</t>
  </si>
  <si>
    <t>AALTER</t>
  </si>
  <si>
    <t>Eikelstraat 41_B</t>
  </si>
  <si>
    <t>EEKLO</t>
  </si>
  <si>
    <t>LIEVEGEM</t>
  </si>
  <si>
    <t>MALDEGEM</t>
  </si>
  <si>
    <t>Delphine Strobbe</t>
  </si>
  <si>
    <t>02 553 92 16</t>
  </si>
  <si>
    <t>delphine.strobbe@ond.vlaanderen.be</t>
  </si>
  <si>
    <t>KASTERLEE</t>
  </si>
  <si>
    <t>LOMMEL</t>
  </si>
  <si>
    <t>SINT-MICHIELS</t>
  </si>
  <si>
    <t>OEDELEM</t>
  </si>
  <si>
    <t>VLS Sint-Jan Berchmanscollege</t>
  </si>
  <si>
    <t>HSBS De Droomboom</t>
  </si>
  <si>
    <t>VBS KATOBA Maria Boodschap Brussel</t>
  </si>
  <si>
    <t>Vlaamsesteenweg 155</t>
  </si>
  <si>
    <t>VBS LEO XIII</t>
  </si>
  <si>
    <t>Leo XIII-straat 11</t>
  </si>
  <si>
    <t>VBS Sint-Lutgardis</t>
  </si>
  <si>
    <t>GBS Ket &amp; Co</t>
  </si>
  <si>
    <t>GBS Mooi-Bos</t>
  </si>
  <si>
    <t>VBS Champagnat</t>
  </si>
  <si>
    <t>Richard Vandeveldestraat 4</t>
  </si>
  <si>
    <t>VBS Sint-Pieterscollege</t>
  </si>
  <si>
    <t>VBS Sint-Gillis</t>
  </si>
  <si>
    <t>Fernand Bernierstraat 16</t>
  </si>
  <si>
    <t>VBS Voorzienigheid</t>
  </si>
  <si>
    <t>ANDERLECHT</t>
  </si>
  <si>
    <t>VBS Sint-Pieter</t>
  </si>
  <si>
    <t>GBS Veeweide</t>
  </si>
  <si>
    <t>Veeweidestraat 82</t>
  </si>
  <si>
    <t>VBS Sint-Jozef</t>
  </si>
  <si>
    <t>VBS Sint-Martinus</t>
  </si>
  <si>
    <t>Jean-Baptiste Decockstraat 54</t>
  </si>
  <si>
    <t>GBS De Kadeekes</t>
  </si>
  <si>
    <t>Herkoliersstraat 68</t>
  </si>
  <si>
    <t>Jean De Greefstraat 3</t>
  </si>
  <si>
    <t>JETTE</t>
  </si>
  <si>
    <t>Léon Theodorstraat 167</t>
  </si>
  <si>
    <t>VBS Sint-Paulus Ukkel</t>
  </si>
  <si>
    <t>Baron Guillaume Van Hammestraat 20</t>
  </si>
  <si>
    <t>Vrije Basisschool</t>
  </si>
  <si>
    <t>VBS HHC Vondel</t>
  </si>
  <si>
    <t>VBS Don Bosco</t>
  </si>
  <si>
    <t>GBS Dworp</t>
  </si>
  <si>
    <t>Alsembergsesteenweg 569</t>
  </si>
  <si>
    <t>DWORP</t>
  </si>
  <si>
    <t>GBS De Regenboog</t>
  </si>
  <si>
    <t>GLS De Oester</t>
  </si>
  <si>
    <t>VBS De Droomgaard</t>
  </si>
  <si>
    <t>GBS Den Top</t>
  </si>
  <si>
    <t>Garebaan 5</t>
  </si>
  <si>
    <t>Jules Sermonstraat 15</t>
  </si>
  <si>
    <t>RUISBROEK</t>
  </si>
  <si>
    <t>GBS De Wonderwijzer</t>
  </si>
  <si>
    <t>Steenweg op Drogenbos 252</t>
  </si>
  <si>
    <t>DROGENBOS</t>
  </si>
  <si>
    <t>Gemeentelijke Basisschool (FR)</t>
  </si>
  <si>
    <t>LINKEBEEK</t>
  </si>
  <si>
    <t>VBS Sint-Victor Alsemberg</t>
  </si>
  <si>
    <t>Brusselsesteenweg 20</t>
  </si>
  <si>
    <t>ALSEMBERG</t>
  </si>
  <si>
    <t>GBS Triangel</t>
  </si>
  <si>
    <t>Kerkplein 1</t>
  </si>
  <si>
    <t>OETINGEN</t>
  </si>
  <si>
    <t>VBS De Leertrommel</t>
  </si>
  <si>
    <t>GLS De Regenboog</t>
  </si>
  <si>
    <t>Gemeentelijke Basisschool</t>
  </si>
  <si>
    <t>VBS De Brug</t>
  </si>
  <si>
    <t>GBS Jongslag</t>
  </si>
  <si>
    <t>Marktplein 8</t>
  </si>
  <si>
    <t>Noorderlaan 6</t>
  </si>
  <si>
    <t>ZELLIK</t>
  </si>
  <si>
    <t>SINT-KATHERINA-LOMBEEK</t>
  </si>
  <si>
    <t>Meersstraat 5</t>
  </si>
  <si>
    <t>ROOSDAAL</t>
  </si>
  <si>
    <t>Brusselstraat 27</t>
  </si>
  <si>
    <t>VBS Sint-Antonius</t>
  </si>
  <si>
    <t>VBS Sint-Vincentius</t>
  </si>
  <si>
    <t>Rooseveltlaan (Franklin) 98</t>
  </si>
  <si>
    <t>VBS De Knipoog 1</t>
  </si>
  <si>
    <t>GBS 't Groentje</t>
  </si>
  <si>
    <t>Groenstraat 21</t>
  </si>
  <si>
    <t>VKS Prinsenhof</t>
  </si>
  <si>
    <t>GBS Mozaïek</t>
  </si>
  <si>
    <t>Prinsenstraat 17</t>
  </si>
  <si>
    <t>Nachtegaallaan 5</t>
  </si>
  <si>
    <t>HUMBEEK</t>
  </si>
  <si>
    <t>GBS Wolvertem - Fusieschool</t>
  </si>
  <si>
    <t>Hoogstraat 40</t>
  </si>
  <si>
    <t>VLS Ter Dreef</t>
  </si>
  <si>
    <t>Gasthuisstraat 21</t>
  </si>
  <si>
    <t>MERCHTEM</t>
  </si>
  <si>
    <t>GBS De Boot</t>
  </si>
  <si>
    <t>Schoolstraat 65_A</t>
  </si>
  <si>
    <t>Heiveld 61</t>
  </si>
  <si>
    <t>GKS Lotharingenkruis</t>
  </si>
  <si>
    <t>Patrijzenlaan 23_a</t>
  </si>
  <si>
    <t>VLS Sint- Clemensschool</t>
  </si>
  <si>
    <t>Desmedtstraat 42</t>
  </si>
  <si>
    <t>GBS Tervuren</t>
  </si>
  <si>
    <t>VBS Mariaschool</t>
  </si>
  <si>
    <t>Paardenmarktstraat 1</t>
  </si>
  <si>
    <t>Waversesteenweg 2</t>
  </si>
  <si>
    <t>SBS Musica</t>
  </si>
  <si>
    <t>VBS Heilige Familie</t>
  </si>
  <si>
    <t>VBS Sint-Maria</t>
  </si>
  <si>
    <t>VLS Sint-Michielscollege</t>
  </si>
  <si>
    <t>Frankrijklei 91</t>
  </si>
  <si>
    <t>SBS Optimist</t>
  </si>
  <si>
    <t>Lange Riddersstraat 48</t>
  </si>
  <si>
    <t>SBS TipTop</t>
  </si>
  <si>
    <t>VBS Domino</t>
  </si>
  <si>
    <t>Lange Kongostraat 21</t>
  </si>
  <si>
    <t>VBS De Dames</t>
  </si>
  <si>
    <t>VLS Sint-Ursula Instituut</t>
  </si>
  <si>
    <t>Lange Nieuwstraat 74</t>
  </si>
  <si>
    <t>SLS De Tandem</t>
  </si>
  <si>
    <t>Offerandestraat 60</t>
  </si>
  <si>
    <t>Pestalozzistraat 5</t>
  </si>
  <si>
    <t>Jan De Voslei 23_A</t>
  </si>
  <si>
    <t>Vrije Lagere School</t>
  </si>
  <si>
    <t>Terlindenhofstraat 220</t>
  </si>
  <si>
    <t>VBS Sint-Eduardus</t>
  </si>
  <si>
    <t>Oorderseweg 8</t>
  </si>
  <si>
    <t>VBS St-Calasanz</t>
  </si>
  <si>
    <t>GBS Gibo Driehoek</t>
  </si>
  <si>
    <t>HOEVENEN</t>
  </si>
  <si>
    <t>DEURNE</t>
  </si>
  <si>
    <t>VBS Sancta Maria</t>
  </si>
  <si>
    <t>Pieter De Ridderstraat 5</t>
  </si>
  <si>
    <t>VBS Oefenschool</t>
  </si>
  <si>
    <t>Turnhoutsebaan 430</t>
  </si>
  <si>
    <t>GLS De Notelaar</t>
  </si>
  <si>
    <t>Bergenstraat 2</t>
  </si>
  <si>
    <t>VBS 1 Bloemendaal</t>
  </si>
  <si>
    <t>Marialei 2</t>
  </si>
  <si>
    <t>Paalstraat 309</t>
  </si>
  <si>
    <t>VBS Mater Dei</t>
  </si>
  <si>
    <t>Kapelsesteenweg 74</t>
  </si>
  <si>
    <t>WESTMALLE</t>
  </si>
  <si>
    <t>Oude Molenstraat 11</t>
  </si>
  <si>
    <t>Smekenstraat 12</t>
  </si>
  <si>
    <t>MALLE</t>
  </si>
  <si>
    <t>VLS Windekind</t>
  </si>
  <si>
    <t>GBS Pierenbos</t>
  </si>
  <si>
    <t>BRECHT</t>
  </si>
  <si>
    <t>VLS Sint-Michielschool</t>
  </si>
  <si>
    <t>Venusstraat 5</t>
  </si>
  <si>
    <t>Handelslei 72</t>
  </si>
  <si>
    <t>Hagelkruis 2_A</t>
  </si>
  <si>
    <t>VBS 't Kantoor</t>
  </si>
  <si>
    <t>Bredabaan 124</t>
  </si>
  <si>
    <t>Heidestatieplein 6</t>
  </si>
  <si>
    <t>VBS Den Heuvel</t>
  </si>
  <si>
    <t>Kloosterstraat 76</t>
  </si>
  <si>
    <t>VBS Mozaïek</t>
  </si>
  <si>
    <t>GBS De Klinker</t>
  </si>
  <si>
    <t>GBS Jan Frans Willems</t>
  </si>
  <si>
    <t>GBS De Knipoog</t>
  </si>
  <si>
    <t>Schoolstraat 17</t>
  </si>
  <si>
    <t>RANST</t>
  </si>
  <si>
    <t>OELEGEM</t>
  </si>
  <si>
    <t>Venusstraat 3</t>
  </si>
  <si>
    <t>Kloosterstraat 1</t>
  </si>
  <si>
    <t>Kerkeblokken 7</t>
  </si>
  <si>
    <t>VBS De Wegwijzer</t>
  </si>
  <si>
    <t>Bergstraat 12</t>
  </si>
  <si>
    <t>GBS Klim-Op</t>
  </si>
  <si>
    <t>Markt 19</t>
  </si>
  <si>
    <t>VORSELAAR</t>
  </si>
  <si>
    <t>VBS De Negensprong</t>
  </si>
  <si>
    <t>VBS Heilig Graf</t>
  </si>
  <si>
    <t>Apostoliekenstraat 26</t>
  </si>
  <si>
    <t>VKS Sint-Jozefcollege</t>
  </si>
  <si>
    <t>VBS Sint-Franciscus</t>
  </si>
  <si>
    <t>Beekstraat 3</t>
  </si>
  <si>
    <t>GBS Qworzo</t>
  </si>
  <si>
    <t>HOOGSTRATEN</t>
  </si>
  <si>
    <t>VBS Klein Seminarie</t>
  </si>
  <si>
    <t>Vrijheid 234</t>
  </si>
  <si>
    <t>GBS Meer/Meerseldreef</t>
  </si>
  <si>
    <t>Kapelweg 2</t>
  </si>
  <si>
    <t>MEERLE</t>
  </si>
  <si>
    <t>Markt 17</t>
  </si>
  <si>
    <t>MERKSPLAS</t>
  </si>
  <si>
    <t>GBS Schransdries</t>
  </si>
  <si>
    <t>VBS Delta</t>
  </si>
  <si>
    <t>Van der Bekenlaan 40</t>
  </si>
  <si>
    <t>OUD-TURNHOUT</t>
  </si>
  <si>
    <t>VBS Trapop</t>
  </si>
  <si>
    <t>GBS De Kleine Wereld</t>
  </si>
  <si>
    <t>Kerkstraat 24</t>
  </si>
  <si>
    <t>Dorp 2</t>
  </si>
  <si>
    <t>POPPEL</t>
  </si>
  <si>
    <t>Ginderbuiten 212</t>
  </si>
  <si>
    <t>VBS De Toren</t>
  </si>
  <si>
    <t>Jozef Calasanzstraat 2_A</t>
  </si>
  <si>
    <t>VBS (W)onderwijs 1</t>
  </si>
  <si>
    <t>Streepstraat 2</t>
  </si>
  <si>
    <t>MORKHOVEN</t>
  </si>
  <si>
    <t>WIEKEVORST</t>
  </si>
  <si>
    <t>VLS Sint-Jan</t>
  </si>
  <si>
    <t>Pastoriestraat 26</t>
  </si>
  <si>
    <t>Schoolstraat 1</t>
  </si>
  <si>
    <t>Laar 1</t>
  </si>
  <si>
    <t>SBS De Burgstraat</t>
  </si>
  <si>
    <t>Burgstraat 23</t>
  </si>
  <si>
    <t>Schoolstraat 43</t>
  </si>
  <si>
    <t>GIERLE</t>
  </si>
  <si>
    <t>Boslaan 2</t>
  </si>
  <si>
    <t>Peperstraat 24</t>
  </si>
  <si>
    <t>RETIE</t>
  </si>
  <si>
    <t>Laarstraat 1</t>
  </si>
  <si>
    <t>GBS De Bosmier</t>
  </si>
  <si>
    <t>Streekweg 11</t>
  </si>
  <si>
    <t>Mechelsestraat 25</t>
  </si>
  <si>
    <t>VLS Sint-Ursula Klim Op</t>
  </si>
  <si>
    <t>VLSBO Ritmica</t>
  </si>
  <si>
    <t>VBS Het Hinkelpad</t>
  </si>
  <si>
    <t>VBS OLVE-Basisschool</t>
  </si>
  <si>
    <t>Rombaut Keldermansstraat 33</t>
  </si>
  <si>
    <t>Jef Van Hoofplein 22</t>
  </si>
  <si>
    <t>BOECHOUT</t>
  </si>
  <si>
    <t>Statiestraat 45</t>
  </si>
  <si>
    <t>LINT</t>
  </si>
  <si>
    <t>GBS Cade</t>
  </si>
  <si>
    <t>GBS G.L.O.C.</t>
  </si>
  <si>
    <t>VBS Heilig Hart</t>
  </si>
  <si>
    <t>SINT-KATELIJNE-WAVER</t>
  </si>
  <si>
    <t>VBS De Groeituin</t>
  </si>
  <si>
    <t>Daliastraat 35</t>
  </si>
  <si>
    <t>BERCHEM</t>
  </si>
  <si>
    <t>Jan Moorkensstraat 95</t>
  </si>
  <si>
    <t>Kerkhofstraat 1</t>
  </si>
  <si>
    <t>Heistraat 255</t>
  </si>
  <si>
    <t>VBS Sint-Henricus</t>
  </si>
  <si>
    <t>Gelaagstraat 161</t>
  </si>
  <si>
    <t>STEENDORP</t>
  </si>
  <si>
    <t>VBS Sint-Carolus</t>
  </si>
  <si>
    <t>Mechelsesteenweg 226</t>
  </si>
  <si>
    <t>BLAASVELD</t>
  </si>
  <si>
    <t>VBS De Appelboom</t>
  </si>
  <si>
    <t>Pastoor Peetersstraat 10</t>
  </si>
  <si>
    <t>Collegestraat 31</t>
  </si>
  <si>
    <t>VBS Onze Lieve Vrouw Presentatie</t>
  </si>
  <si>
    <t>HOBOKEN</t>
  </si>
  <si>
    <t>VLS Sint-Agnes</t>
  </si>
  <si>
    <t>Dokter Coenstraat 18</t>
  </si>
  <si>
    <t>VBS De Puzzel</t>
  </si>
  <si>
    <t>VKS OLV van Gaverland</t>
  </si>
  <si>
    <t>Sint-Elisabethstraat 62</t>
  </si>
  <si>
    <t>MELSELE</t>
  </si>
  <si>
    <t>GBS De Oogappel</t>
  </si>
  <si>
    <t>Poerdam 1</t>
  </si>
  <si>
    <t>HAASDONK</t>
  </si>
  <si>
    <t>Ambachtstraat 7_b</t>
  </si>
  <si>
    <t>NIEUWKERKEN-WAAS</t>
  </si>
  <si>
    <t>GBS De Droomballon</t>
  </si>
  <si>
    <t>VBS Toermalijn Geel</t>
  </si>
  <si>
    <t>GBS Reynaerdijn</t>
  </si>
  <si>
    <t>Stationsstraat 18</t>
  </si>
  <si>
    <t>VRASENE</t>
  </si>
  <si>
    <t>Molenbergstraat 6</t>
  </si>
  <si>
    <t>VBS Scheppers</t>
  </si>
  <si>
    <t>VBS Tuimeling</t>
  </si>
  <si>
    <t>VBS School met de Bijbel De Ark</t>
  </si>
  <si>
    <t>Battelsesteenweg 259</t>
  </si>
  <si>
    <t>HAACHT</t>
  </si>
  <si>
    <t>VBS Don Bosco De Puzzel</t>
  </si>
  <si>
    <t>Werchtersesteenweg 38</t>
  </si>
  <si>
    <t>Kempenlaan 16</t>
  </si>
  <si>
    <t>Leuvensebaan 25</t>
  </si>
  <si>
    <t>SCHRIEK</t>
  </si>
  <si>
    <t>GLS Ter Elst</t>
  </si>
  <si>
    <t>VBS De Pepel</t>
  </si>
  <si>
    <t>J. Van Doorslaerstraat 47</t>
  </si>
  <si>
    <t>STEENHUFFEL</t>
  </si>
  <si>
    <t>Mechelseweg 96</t>
  </si>
  <si>
    <t>KAPELLE-OP-DEN-BOS</t>
  </si>
  <si>
    <t>ZEMST</t>
  </si>
  <si>
    <t>GBS De Toverberg &amp; Het Klimtouw</t>
  </si>
  <si>
    <t>Brusselsesteenweg 23</t>
  </si>
  <si>
    <t>VBS Paridaens</t>
  </si>
  <si>
    <t>VLS Heilig Hart</t>
  </si>
  <si>
    <t>VLS De Kraal</t>
  </si>
  <si>
    <t>Naamsesteenweg 355</t>
  </si>
  <si>
    <t>OUD-HEVERLEE</t>
  </si>
  <si>
    <t>GBS school 3212</t>
  </si>
  <si>
    <t>GBS De Negensprong</t>
  </si>
  <si>
    <t>ERPS-KWERPS</t>
  </si>
  <si>
    <t>Engerstraat 10</t>
  </si>
  <si>
    <t>Annonciadenstraat 1</t>
  </si>
  <si>
    <t>EVERBERG</t>
  </si>
  <si>
    <t>Torfbroeklaan 25</t>
  </si>
  <si>
    <t>BERG</t>
  </si>
  <si>
    <t>Steenweg op Nieuwrode 43</t>
  </si>
  <si>
    <t>WEZEMAAL</t>
  </si>
  <si>
    <t>VBS Sint-Annaschool</t>
  </si>
  <si>
    <t>Baalsebaan 330</t>
  </si>
  <si>
    <t>BAAL</t>
  </si>
  <si>
    <t>VBS De Graankorrel</t>
  </si>
  <si>
    <t>Strepestraat 21</t>
  </si>
  <si>
    <t>HULSHOUT</t>
  </si>
  <si>
    <t>Blaubergsesteenweg 172</t>
  </si>
  <si>
    <t>VBS Ter Veste</t>
  </si>
  <si>
    <t>Maria Gorettistraat 4</t>
  </si>
  <si>
    <t>GBS 't Steltje</t>
  </si>
  <si>
    <t>TESTELT</t>
  </si>
  <si>
    <t>Demerstraat 12</t>
  </si>
  <si>
    <t>Waaibergstraat 5</t>
  </si>
  <si>
    <t>Pastorijstraat 78</t>
  </si>
  <si>
    <t>Gemeentelijke Kleuterschool</t>
  </si>
  <si>
    <t>Stationsstraat 16</t>
  </si>
  <si>
    <t>ZOUTLEEUW</t>
  </si>
  <si>
    <t>Dorpsstraat 39</t>
  </si>
  <si>
    <t>ZELEM</t>
  </si>
  <si>
    <t>VLS Kindercampus Mozaïek</t>
  </si>
  <si>
    <t>Vrije Jenaplanschool De Krullevaar</t>
  </si>
  <si>
    <t>Bakkerslaan 20</t>
  </si>
  <si>
    <t>Zegestraat 40</t>
  </si>
  <si>
    <t>Joris van Oostenrijkstraat 53</t>
  </si>
  <si>
    <t>KURINGEN</t>
  </si>
  <si>
    <t>Molenweg 73</t>
  </si>
  <si>
    <t>VBS De Schakel</t>
  </si>
  <si>
    <t>Kleuterweg 15</t>
  </si>
  <si>
    <t>GLS De Griffel</t>
  </si>
  <si>
    <t>Hortensiastraat 3</t>
  </si>
  <si>
    <t>VBS 't Molenholleke</t>
  </si>
  <si>
    <t>Heldenplein 15</t>
  </si>
  <si>
    <t>HEUSDEN-ZOLDER</t>
  </si>
  <si>
    <t>VBS 'De Beerring'</t>
  </si>
  <si>
    <t>VBS Wonderwijs</t>
  </si>
  <si>
    <t>VBS Royke</t>
  </si>
  <si>
    <t>VBS Klim-Op</t>
  </si>
  <si>
    <t>VBS Helibel Lille</t>
  </si>
  <si>
    <t>VLS De Robbert</t>
  </si>
  <si>
    <t>VBS Corneliusschool</t>
  </si>
  <si>
    <t>Parkstraat 15</t>
  </si>
  <si>
    <t>Schoolstraat 18</t>
  </si>
  <si>
    <t>Bergerheidestraat 4</t>
  </si>
  <si>
    <t>ZUTENDAAL</t>
  </si>
  <si>
    <t>VLS De Parel</t>
  </si>
  <si>
    <t>Schoolstraat 6</t>
  </si>
  <si>
    <t>Kloosterstraat 34</t>
  </si>
  <si>
    <t>DIEPENBEEK</t>
  </si>
  <si>
    <t>VBS Lutselus</t>
  </si>
  <si>
    <t>VBS De Wilg</t>
  </si>
  <si>
    <t>Schoolstraat 45</t>
  </si>
  <si>
    <t>VBS Mozaiek</t>
  </si>
  <si>
    <t>VLS De Boomgaard</t>
  </si>
  <si>
    <t>VLS Sint-Lambertus</t>
  </si>
  <si>
    <t>Gildenstraat 24</t>
  </si>
  <si>
    <t>GBS As</t>
  </si>
  <si>
    <t>NIEL-BIJ-AS</t>
  </si>
  <si>
    <t>Nelisveld 5</t>
  </si>
  <si>
    <t>KINROOI</t>
  </si>
  <si>
    <t>VLSBO De Boemerang</t>
  </si>
  <si>
    <t>Breekiezel 27</t>
  </si>
  <si>
    <t>VBS Picpussen</t>
  </si>
  <si>
    <t>Watertorenstraat 5_C</t>
  </si>
  <si>
    <t>RIEMST</t>
  </si>
  <si>
    <t>Klein Lafeltstraat 2</t>
  </si>
  <si>
    <t>VBS Aan De Basis</t>
  </si>
  <si>
    <t>Maastrichterweg 261</t>
  </si>
  <si>
    <t>LANAKEN</t>
  </si>
  <si>
    <t>Wijnstraat 2</t>
  </si>
  <si>
    <t>ALKEN</t>
  </si>
  <si>
    <t>BORGLOON</t>
  </si>
  <si>
    <t>Slinkerstraat 62</t>
  </si>
  <si>
    <t>VBS Wegwijs</t>
  </si>
  <si>
    <t>BERINGEN</t>
  </si>
  <si>
    <t>Koerselsesteenweg 25</t>
  </si>
  <si>
    <t>VBS De Heppening</t>
  </si>
  <si>
    <t>VLS Sint-Michiel</t>
  </si>
  <si>
    <t>Diestersteenweg 13</t>
  </si>
  <si>
    <t>HEPPEN</t>
  </si>
  <si>
    <t>VLS HARTeLU(s)T, campus Kerkstraat</t>
  </si>
  <si>
    <t>Kerkstraat 4_B</t>
  </si>
  <si>
    <t>GBS De Duizendpoot</t>
  </si>
  <si>
    <t>VBS SLHD De Lenaard</t>
  </si>
  <si>
    <t>Sint-Lenardsstraat 58</t>
  </si>
  <si>
    <t>DUDZELE</t>
  </si>
  <si>
    <t>VBS OLVA Katrientje</t>
  </si>
  <si>
    <t>Kortrijksestraat 47_G</t>
  </si>
  <si>
    <t>VBS Ter Bunen</t>
  </si>
  <si>
    <t>WINGENE</t>
  </si>
  <si>
    <t>VBS Wildenburg</t>
  </si>
  <si>
    <t>Beernemsteenweg 117</t>
  </si>
  <si>
    <t>GBS Het Beverbos</t>
  </si>
  <si>
    <t>Beverenstraat 18</t>
  </si>
  <si>
    <t>VBS Oefenschool Torhout</t>
  </si>
  <si>
    <t>Bruggestraat 23</t>
  </si>
  <si>
    <t>VBSBO De Berkjes</t>
  </si>
  <si>
    <t>Bruggestraat 24</t>
  </si>
  <si>
    <t>VBS Kouterkind Merkem</t>
  </si>
  <si>
    <t>Kouterstraat 28_b</t>
  </si>
  <si>
    <t>MERKEM</t>
  </si>
  <si>
    <t>VBSBO Klimop</t>
  </si>
  <si>
    <t>VBS Houtmarkt 72</t>
  </si>
  <si>
    <t>Gistelse Steenweg 440</t>
  </si>
  <si>
    <t>VBS De Loopbrug Zerkegem-Snellegem</t>
  </si>
  <si>
    <t>Vedastusstraat 96</t>
  </si>
  <si>
    <t>ZERKEGEM</t>
  </si>
  <si>
    <t>Vrijheidsstraat 1</t>
  </si>
  <si>
    <t>SNAASKERKE</t>
  </si>
  <si>
    <t>Stationsstraat 1_A</t>
  </si>
  <si>
    <t>EERNEGEM</t>
  </si>
  <si>
    <t>KNOKKE</t>
  </si>
  <si>
    <t>VBS OLVO</t>
  </si>
  <si>
    <t>Kragendijk 182</t>
  </si>
  <si>
    <t>Sint-Katarinastraat 132</t>
  </si>
  <si>
    <t>Bruggestraat 30_A</t>
  </si>
  <si>
    <t>VBS Sint-Maarten</t>
  </si>
  <si>
    <t>HEIST-AAN-ZEE</t>
  </si>
  <si>
    <t>Stadhuisstraat 4</t>
  </si>
  <si>
    <t>VLS Westdiep</t>
  </si>
  <si>
    <t>VBS Onze-Lieve-Vrouwecollege</t>
  </si>
  <si>
    <t>Kaaistraat 22</t>
  </si>
  <si>
    <t>VBS H.Hart</t>
  </si>
  <si>
    <t>Kerkstraat 70</t>
  </si>
  <si>
    <t>WENDUINE</t>
  </si>
  <si>
    <t>Houtmarkt 14</t>
  </si>
  <si>
    <t>VBS 't Fort</t>
  </si>
  <si>
    <t>VBS Sint-Amands Noord</t>
  </si>
  <si>
    <t>Kollegestraat 8</t>
  </si>
  <si>
    <t>Plein 9</t>
  </si>
  <si>
    <t>VBS Sint- Jan Berchmans Outrijve</t>
  </si>
  <si>
    <t>Lauwsestraat 11</t>
  </si>
  <si>
    <t>AALBEKE</t>
  </si>
  <si>
    <t>VBS Kaspar</t>
  </si>
  <si>
    <t>Hospitaalstraat 14</t>
  </si>
  <si>
    <t>Kasteeldreef 5</t>
  </si>
  <si>
    <t>REKKEM</t>
  </si>
  <si>
    <t>Theophiel Toyeplein 8</t>
  </si>
  <si>
    <t>Hendrik Consciencestraat 28_A</t>
  </si>
  <si>
    <t>MOORSELE</t>
  </si>
  <si>
    <t>Rozenstraat 6</t>
  </si>
  <si>
    <t>VBS 't Brugske Dadizele</t>
  </si>
  <si>
    <t>Plaats 29</t>
  </si>
  <si>
    <t>DADIZELE</t>
  </si>
  <si>
    <t>Pastorijstraat 2</t>
  </si>
  <si>
    <t>Berten Pilstraat 7</t>
  </si>
  <si>
    <t>ZONNEBEKE</t>
  </si>
  <si>
    <t>GBS Centrum</t>
  </si>
  <si>
    <t>Tuinstraat 21</t>
  </si>
  <si>
    <t>Hoogstraat 41</t>
  </si>
  <si>
    <t>VBS Keukeldam-Sint-Petrus</t>
  </si>
  <si>
    <t>SBS Guido Gezelle</t>
  </si>
  <si>
    <t>Stationsstraat 8</t>
  </si>
  <si>
    <t>LENDELEDE</t>
  </si>
  <si>
    <t>Wielsbekestraat 21</t>
  </si>
  <si>
    <t>OOSTROZEBEKE</t>
  </si>
  <si>
    <t>VBS 't Nieuwland</t>
  </si>
  <si>
    <t>Keukeldam 19</t>
  </si>
  <si>
    <t>Guido Gezellestraat 20</t>
  </si>
  <si>
    <t>SBS De Octopus</t>
  </si>
  <si>
    <t>Leeuwerikstraat 30</t>
  </si>
  <si>
    <t>VLS Arkorum 04 College Grauwzusters</t>
  </si>
  <si>
    <t>MEULEBEKE</t>
  </si>
  <si>
    <t>VLS Sint-Amandus</t>
  </si>
  <si>
    <t>Ontvangerstraat 7</t>
  </si>
  <si>
    <t>VBS Lyceum Heilige Familie</t>
  </si>
  <si>
    <t>Maloulaan 2</t>
  </si>
  <si>
    <t>LANGEMARK-POELKAPELLE</t>
  </si>
  <si>
    <t>Klerkenstraat 128</t>
  </si>
  <si>
    <t>Bollemeersstraat 12</t>
  </si>
  <si>
    <t>ELVERDINGE</t>
  </si>
  <si>
    <t>Bruggestraat 14</t>
  </si>
  <si>
    <t>SBS Bollekensschool</t>
  </si>
  <si>
    <t>Neermeerskaai 2</t>
  </si>
  <si>
    <t>VLS KLIM</t>
  </si>
  <si>
    <t>Ebergiste De Deynestraat 2_B</t>
  </si>
  <si>
    <t>Sint-Pietersaalststraat 86</t>
  </si>
  <si>
    <t>VBS Sint-Bavo</t>
  </si>
  <si>
    <t>Apostelhuizen 2</t>
  </si>
  <si>
    <t>VBS De Pinte</t>
  </si>
  <si>
    <t>SBS De Regenboog</t>
  </si>
  <si>
    <t>Sint-Rafaëlstraat 14</t>
  </si>
  <si>
    <t>GBS Evergem</t>
  </si>
  <si>
    <t>Assenedesteenweg 115</t>
  </si>
  <si>
    <t>VBS 't Brugje</t>
  </si>
  <si>
    <t>VBS St.Jozef</t>
  </si>
  <si>
    <t>VBS Veertjesplein</t>
  </si>
  <si>
    <t>Kerkstraat 12</t>
  </si>
  <si>
    <t>Veerstraat 10</t>
  </si>
  <si>
    <t>VBS Sint-Janscollege Visitatie</t>
  </si>
  <si>
    <t>Joseph Gérardstraat 16</t>
  </si>
  <si>
    <t>Kerkham 1</t>
  </si>
  <si>
    <t>LOCHRISTI</t>
  </si>
  <si>
    <t>Bosdreef 2_A</t>
  </si>
  <si>
    <t>VBS Sint-Elooischool</t>
  </si>
  <si>
    <t>ZELE</t>
  </si>
  <si>
    <t>VBS De Kouter-basis Zele</t>
  </si>
  <si>
    <t>GBS Staakte</t>
  </si>
  <si>
    <t>VBS HEHAschool</t>
  </si>
  <si>
    <t>VBS KOHa Zouaaf</t>
  </si>
  <si>
    <t>GBS GIBO Wichelen</t>
  </si>
  <si>
    <t>Florimond Leirensstraat 31</t>
  </si>
  <si>
    <t>Cooppallaan 126</t>
  </si>
  <si>
    <t>SERSKAMP</t>
  </si>
  <si>
    <t>Sint-Elooistraat 79</t>
  </si>
  <si>
    <t>GBS De Vierklaver A</t>
  </si>
  <si>
    <t>Pontstraat 20</t>
  </si>
  <si>
    <t>VBS De Vlieger</t>
  </si>
  <si>
    <t>Hofstade-Dorp 44</t>
  </si>
  <si>
    <t>Otterstraat 179</t>
  </si>
  <si>
    <t>Molenberg 9</t>
  </si>
  <si>
    <t>BAASRODE</t>
  </si>
  <si>
    <t>VBS Lebbeke B</t>
  </si>
  <si>
    <t>Brusselsesteenweg 43</t>
  </si>
  <si>
    <t>Weggevoerdenstraat 55</t>
  </si>
  <si>
    <t>Erembodegem-Dorp 21</t>
  </si>
  <si>
    <t>VBS KCD</t>
  </si>
  <si>
    <t>Edingsesteenweg 344</t>
  </si>
  <si>
    <t>DENDERWINDEKE</t>
  </si>
  <si>
    <t>Gasthuisstraat 98</t>
  </si>
  <si>
    <t>VBS Grotenberge</t>
  </si>
  <si>
    <t>Pastorijstraat 3 bus a</t>
  </si>
  <si>
    <t>BORSBEKE</t>
  </si>
  <si>
    <t>VBS Munkzwalm VZW</t>
  </si>
  <si>
    <t>Grotstraat 1</t>
  </si>
  <si>
    <t>GROTENBERGE</t>
  </si>
  <si>
    <t>Decoenestraat 8</t>
  </si>
  <si>
    <t>MUNKZWALM</t>
  </si>
  <si>
    <t>Groenstraat 15_A</t>
  </si>
  <si>
    <t>MICHELBEKE</t>
  </si>
  <si>
    <t>VBS De Talentenboog</t>
  </si>
  <si>
    <t>Glorieuxstraat 4</t>
  </si>
  <si>
    <t>NUKERKE</t>
  </si>
  <si>
    <t>VBS KBO-Sint-Jozef 2</t>
  </si>
  <si>
    <t>Vlaanderenstraat 4</t>
  </si>
  <si>
    <t>Baron de Gieylaan 25</t>
  </si>
  <si>
    <t>VBS De Vliegenier</t>
  </si>
  <si>
    <t>Opperweg 8</t>
  </si>
  <si>
    <t>SEMMERZAKE</t>
  </si>
  <si>
    <t>Veldstraat 14</t>
  </si>
  <si>
    <t>ASPER</t>
  </si>
  <si>
    <t>Kerkplein 24</t>
  </si>
  <si>
    <t>SINT-MARTENS-LATEM</t>
  </si>
  <si>
    <t>Burgemeesterstraat 7</t>
  </si>
  <si>
    <t>VKS Emmaüs</t>
  </si>
  <si>
    <t>Brouwerijstraat 28</t>
  </si>
  <si>
    <t>VBS De Meidoorn</t>
  </si>
  <si>
    <t>SLEIDINGE</t>
  </si>
  <si>
    <t>Akkerken 2</t>
  </si>
  <si>
    <t>Sint-Bernardusstraat 1_B</t>
  </si>
  <si>
    <t>BASSEVELDE</t>
  </si>
  <si>
    <t>SINT-LAUREINS</t>
  </si>
  <si>
    <t>Leemweg 1</t>
  </si>
  <si>
    <t>VKS De Kleuterark</t>
  </si>
  <si>
    <t>Marktstraat 15</t>
  </si>
  <si>
    <t>Wouwstraat 44</t>
  </si>
  <si>
    <t>Parklaan 3</t>
  </si>
  <si>
    <t>Gerdingerpoort 20</t>
  </si>
  <si>
    <t>Pluimstraat 22</t>
  </si>
  <si>
    <t>Torhoutse Steenweg 513_B</t>
  </si>
  <si>
    <t>Van Bladelstraat 28</t>
  </si>
  <si>
    <t>HERENT</t>
  </si>
  <si>
    <t>Nieuwstraat 60</t>
  </si>
  <si>
    <t>ASTENE</t>
  </si>
  <si>
    <t>Speurtstraat 3</t>
  </si>
  <si>
    <t>OORDEGEM</t>
  </si>
  <si>
    <t>Jozef Mattheessensstraat 62</t>
  </si>
  <si>
    <t>Schorvoortstraat 31</t>
  </si>
  <si>
    <t>Rijselstraat 71</t>
  </si>
  <si>
    <t>Schransdriesstraat 45</t>
  </si>
  <si>
    <t>Kerkplein 2</t>
  </si>
  <si>
    <t>PELLENBERG</t>
  </si>
  <si>
    <t>Boomsesteenweg 94</t>
  </si>
  <si>
    <t>Zavelstraat 2</t>
  </si>
  <si>
    <t>Evangeliestraat 85</t>
  </si>
  <si>
    <t>Jef Van Lishoutstraat 17</t>
  </si>
  <si>
    <t>Bredabaan 479</t>
  </si>
  <si>
    <t>Waversebaan 81</t>
  </si>
  <si>
    <t>Collegestraat 19</t>
  </si>
  <si>
    <t>Quebecstraat 3</t>
  </si>
  <si>
    <t>Louis Wittouckstraat 46</t>
  </si>
  <si>
    <t>Moerbeekstraat 3</t>
  </si>
  <si>
    <t>OUTRIJVE</t>
  </si>
  <si>
    <t>VBS De Griffel</t>
  </si>
  <si>
    <t>Marie Joséestraat 4</t>
  </si>
  <si>
    <t>Stefaan Modest Glorieuxlaan 40</t>
  </si>
  <si>
    <t>Gootstraat 12</t>
  </si>
  <si>
    <t>Dreef 47</t>
  </si>
  <si>
    <t>Nieuwland 75</t>
  </si>
  <si>
    <t>Bruyningstraat 56_a</t>
  </si>
  <si>
    <t>Plezantstraat 135</t>
  </si>
  <si>
    <t>Koevliet 1_A</t>
  </si>
  <si>
    <t>Raffelgemstraat 8</t>
  </si>
  <si>
    <t>Heulsestraat 111</t>
  </si>
  <si>
    <t>Zuidmoerstraat 125</t>
  </si>
  <si>
    <t>Eerste Straat 19</t>
  </si>
  <si>
    <t>Statiestraat 35_A</t>
  </si>
  <si>
    <t>Schutterijstraat 6</t>
  </si>
  <si>
    <t>Geluwestraat 4</t>
  </si>
  <si>
    <t>Doorndal 3</t>
  </si>
  <si>
    <t>Generaal de Wittestraat 29</t>
  </si>
  <si>
    <t>HALEN</t>
  </si>
  <si>
    <t>della Faillelaan 36</t>
  </si>
  <si>
    <t>Witvenstraat 59</t>
  </si>
  <si>
    <t>Koning Leopold III-laan 102</t>
  </si>
  <si>
    <t>Prof. Mac Leodstraat 11</t>
  </si>
  <si>
    <t>Gyselstraat 35</t>
  </si>
  <si>
    <t>Paretteplein 21</t>
  </si>
  <si>
    <t>Azalealaan 101</t>
  </si>
  <si>
    <t>Nonnenstraat 16</t>
  </si>
  <si>
    <t>Fabiolalaan 2</t>
  </si>
  <si>
    <t>Kloosterstraat 6</t>
  </si>
  <si>
    <t>Halmolenweg 3</t>
  </si>
  <si>
    <t>Vondel 41</t>
  </si>
  <si>
    <t>Stationsstraat 32</t>
  </si>
  <si>
    <t>VBS De Graankorrel Kruiseke</t>
  </si>
  <si>
    <t>Peter Benoitlaan 10</t>
  </si>
  <si>
    <t>Sint-Hubertusstraat 3</t>
  </si>
  <si>
    <t>SINT-HUIBRECHTS-LILLE</t>
  </si>
  <si>
    <t>Hameestraat 11</t>
  </si>
  <si>
    <t>Nieuwe Baan 8</t>
  </si>
  <si>
    <t>VBS Lucernacollege Brussel</t>
  </si>
  <si>
    <t>Poxcatstraat 6</t>
  </si>
  <si>
    <t>Geelstraat 51_A</t>
  </si>
  <si>
    <t>Het Heiken 47</t>
  </si>
  <si>
    <t>Zuidstraat 33</t>
  </si>
  <si>
    <t>Hoogstraat 192</t>
  </si>
  <si>
    <t>Kruisekestraat 461_A</t>
  </si>
  <si>
    <t>August Van de Wielelei 136</t>
  </si>
  <si>
    <t>de Bavaylei 134 bus 1</t>
  </si>
  <si>
    <t>Reibroekstraat 2_A</t>
  </si>
  <si>
    <t>Dieleghemse Steenweg 24</t>
  </si>
  <si>
    <t>Teekbroek 22</t>
  </si>
  <si>
    <t>Van den Hautelei 79_A</t>
  </si>
  <si>
    <t>tel</t>
  </si>
  <si>
    <t>056 66 80 60</t>
  </si>
  <si>
    <t>011 64 57 82</t>
  </si>
  <si>
    <t>011 44 55 61</t>
  </si>
  <si>
    <t>011 40 12 12</t>
  </si>
  <si>
    <t>011 32 33 68</t>
  </si>
  <si>
    <t>089 61 11 57</t>
  </si>
  <si>
    <t>011 73 47 11</t>
  </si>
  <si>
    <t>089 81 13 08</t>
  </si>
  <si>
    <t>089 49 12 48</t>
  </si>
  <si>
    <t>011 21 17 64</t>
  </si>
  <si>
    <t>012 23 58 16</t>
  </si>
  <si>
    <t>011 42 27 86</t>
  </si>
  <si>
    <t>SG KBT</t>
  </si>
  <si>
    <t>012 23 23 64</t>
  </si>
  <si>
    <t>011 60 48 33</t>
  </si>
  <si>
    <t>089 46 46 17</t>
  </si>
  <si>
    <t>089 46 34 14</t>
  </si>
  <si>
    <t>011 34 35 49</t>
  </si>
  <si>
    <t>051 26 44 40</t>
  </si>
  <si>
    <t>013 66 27 36</t>
  </si>
  <si>
    <t>011 32 35 70</t>
  </si>
  <si>
    <t>058 31 37 41</t>
  </si>
  <si>
    <t>089 71 40 76</t>
  </si>
  <si>
    <t>089 85 48 24</t>
  </si>
  <si>
    <t>013 44 43 61</t>
  </si>
  <si>
    <t>014 56 64 40</t>
  </si>
  <si>
    <t>03 779 79 00</t>
  </si>
  <si>
    <t>03 779 76 59</t>
  </si>
  <si>
    <t>09 357 75 21</t>
  </si>
  <si>
    <t>059 27 82 95</t>
  </si>
  <si>
    <t>03 353 16 89</t>
  </si>
  <si>
    <t>02 356 78 89</t>
  </si>
  <si>
    <t>02 268 47 51</t>
  </si>
  <si>
    <t>02 538 06 28</t>
  </si>
  <si>
    <t>03 886 57 09</t>
  </si>
  <si>
    <t>03 455 07 99</t>
  </si>
  <si>
    <t>052 44 69 31</t>
  </si>
  <si>
    <t>013 77 27 38</t>
  </si>
  <si>
    <t>054 56 60 23</t>
  </si>
  <si>
    <t>02 269 59 75</t>
  </si>
  <si>
    <t>02 512 32 81</t>
  </si>
  <si>
    <t>014 41 18 87</t>
  </si>
  <si>
    <t>056 35 03 28</t>
  </si>
  <si>
    <t>056 28 54 50</t>
  </si>
  <si>
    <t>051 30 00 65</t>
  </si>
  <si>
    <t>056 73 34 90</t>
  </si>
  <si>
    <t>ZaRa</t>
  </si>
  <si>
    <t>03 475 14 48</t>
  </si>
  <si>
    <t>051 54 54 33</t>
  </si>
  <si>
    <t>056 72 43 45</t>
  </si>
  <si>
    <t>09 238 46 05</t>
  </si>
  <si>
    <t>09 384 56 19</t>
  </si>
  <si>
    <t>014 63 34 93</t>
  </si>
  <si>
    <t>053 72 34 71</t>
  </si>
  <si>
    <t>056 64 79 53</t>
  </si>
  <si>
    <t>03 298 08 31</t>
  </si>
  <si>
    <t>03 886 64 76</t>
  </si>
  <si>
    <t>051 48 71 49</t>
  </si>
  <si>
    <t>056 75 53 76</t>
  </si>
  <si>
    <t>014 55 76 01</t>
  </si>
  <si>
    <t>03 353 05 41</t>
  </si>
  <si>
    <t>014 45 36 75</t>
  </si>
  <si>
    <t>052 37 19 35</t>
  </si>
  <si>
    <t>014 65 63 86</t>
  </si>
  <si>
    <t>014 26 35 05</t>
  </si>
  <si>
    <t>015 50 90 68</t>
  </si>
  <si>
    <t>03 334 39 80</t>
  </si>
  <si>
    <t>02 773 18 03</t>
  </si>
  <si>
    <t>03 283 49 79</t>
  </si>
  <si>
    <t>02 359 16 98</t>
  </si>
  <si>
    <t>016 65 99 77</t>
  </si>
  <si>
    <t>03 292 97 97</t>
  </si>
  <si>
    <t>03 201 51 20</t>
  </si>
  <si>
    <t>03 293 24 24</t>
  </si>
  <si>
    <t>011 25 52 88</t>
  </si>
  <si>
    <t>03 640 30 34</t>
  </si>
  <si>
    <t>056 96 98 87</t>
  </si>
  <si>
    <t>056 31 42 55</t>
  </si>
  <si>
    <t>056 42 54 17</t>
  </si>
  <si>
    <t>058 51 17 44</t>
  </si>
  <si>
    <t>051 59 12 11</t>
  </si>
  <si>
    <t>011 64 17 34</t>
  </si>
  <si>
    <t>059 29 99 88</t>
  </si>
  <si>
    <t>011 53 68 54</t>
  </si>
  <si>
    <t>012 26 88 32</t>
  </si>
  <si>
    <t>011 27 23 08</t>
  </si>
  <si>
    <t>051 70 07 47</t>
  </si>
  <si>
    <t>03 827 25 20</t>
  </si>
  <si>
    <t>015 21 08 31</t>
  </si>
  <si>
    <t>051 65 75 57</t>
  </si>
  <si>
    <t>052 34 59 11</t>
  </si>
  <si>
    <t>054 41 26 43</t>
  </si>
  <si>
    <t>09 282 49 46</t>
  </si>
  <si>
    <t>03 651 75 39</t>
  </si>
  <si>
    <t>057 42 22 68</t>
  </si>
  <si>
    <t>014 31 11 50</t>
  </si>
  <si>
    <t>03 460 11 51</t>
  </si>
  <si>
    <t>050 38 44 71</t>
  </si>
  <si>
    <t>03 669 62 89</t>
  </si>
  <si>
    <t>016 81 98 02</t>
  </si>
  <si>
    <t>014 37 75 55</t>
  </si>
  <si>
    <t>011 68 94 15</t>
  </si>
  <si>
    <t>011 31 26 83</t>
  </si>
  <si>
    <t>015 71 18 01</t>
  </si>
  <si>
    <t>02 767 62 76</t>
  </si>
  <si>
    <t>054 33 33 46</t>
  </si>
  <si>
    <t>051 50 13 75</t>
  </si>
  <si>
    <t>02 414 08 66</t>
  </si>
  <si>
    <t>BerneDam</t>
  </si>
  <si>
    <t>050 78 97 22</t>
  </si>
  <si>
    <t>050 23 15 11</t>
  </si>
  <si>
    <t>03 454 50 71</t>
  </si>
  <si>
    <t>03 690 46 45</t>
  </si>
  <si>
    <t>02 521 01 11</t>
  </si>
  <si>
    <t>051 26 47 33</t>
  </si>
  <si>
    <t>056 60 32 70</t>
  </si>
  <si>
    <t>03 234 02 68</t>
  </si>
  <si>
    <t>056 41 03 75</t>
  </si>
  <si>
    <t>057 30 92 10</t>
  </si>
  <si>
    <t>03 340 40 45</t>
  </si>
  <si>
    <t>03 897 98 16</t>
  </si>
  <si>
    <t>056 50 93 17</t>
  </si>
  <si>
    <t>052 21 82 39</t>
  </si>
  <si>
    <t>056 41 35 93</t>
  </si>
  <si>
    <t>014 74 42 80</t>
  </si>
  <si>
    <t>03 455 48 06</t>
  </si>
  <si>
    <t>050 63 08 60</t>
  </si>
  <si>
    <t>050 35 55 98</t>
  </si>
  <si>
    <t>03 410 01 30</t>
  </si>
  <si>
    <t>02 759 96 22</t>
  </si>
  <si>
    <t>050 39 68 90</t>
  </si>
  <si>
    <t>014 61 13 48</t>
  </si>
  <si>
    <t>057 48 83 00</t>
  </si>
  <si>
    <t>050 40 68 90</t>
  </si>
  <si>
    <t>02 687 22 57</t>
  </si>
  <si>
    <t>059 70 55 63</t>
  </si>
  <si>
    <t>03 315 80 53</t>
  </si>
  <si>
    <t>016 20 82 74</t>
  </si>
  <si>
    <t>050 51 29 25</t>
  </si>
  <si>
    <t>052 35 70 76</t>
  </si>
  <si>
    <t>056 22 81 89</t>
  </si>
  <si>
    <t>016 81 83 88</t>
  </si>
  <si>
    <t>051 40 20 62</t>
  </si>
  <si>
    <t>050 82 68 44</t>
  </si>
  <si>
    <t>056 21 93 54</t>
  </si>
  <si>
    <t>051 20 70 55</t>
  </si>
  <si>
    <t>057 21 82 39</t>
  </si>
  <si>
    <t>09 282 80 40</t>
  </si>
  <si>
    <t>VBS Sint-Paulus - De Wonderboom</t>
  </si>
  <si>
    <t>09 222 11 68</t>
  </si>
  <si>
    <t>03 780 71 65</t>
  </si>
  <si>
    <t>09 259 21 01</t>
  </si>
  <si>
    <t>09 369 47 61</t>
  </si>
  <si>
    <t>054 33 51 97</t>
  </si>
  <si>
    <t>09 348 46 92</t>
  </si>
  <si>
    <t>055 21 04 69</t>
  </si>
  <si>
    <t>053 46 33 00</t>
  </si>
  <si>
    <t>053 67 06 10</t>
  </si>
  <si>
    <t>055 30 30 43</t>
  </si>
  <si>
    <t>09 228 52 67</t>
  </si>
  <si>
    <t>055 33 45 60</t>
  </si>
  <si>
    <t>056 21 08 31</t>
  </si>
  <si>
    <t>055 61 25 50</t>
  </si>
  <si>
    <t>03 750 17 65</t>
  </si>
  <si>
    <t>09 366 15 54</t>
  </si>
  <si>
    <t>03 775 72 00</t>
  </si>
  <si>
    <t>03 774 23 10</t>
  </si>
  <si>
    <t>09 379 90 61</t>
  </si>
  <si>
    <t>052 49 99 75</t>
  </si>
  <si>
    <t>09 384 10 31</t>
  </si>
  <si>
    <t>09 369 79 80</t>
  </si>
  <si>
    <t>052 47 03 45</t>
  </si>
  <si>
    <t>09 377 56 44</t>
  </si>
  <si>
    <t>09 362 64 95</t>
  </si>
  <si>
    <t>09 360 31 15</t>
  </si>
  <si>
    <t>052 41 14 18</t>
  </si>
  <si>
    <t>054 31 74 95</t>
  </si>
  <si>
    <t>053 70 19 16</t>
  </si>
  <si>
    <t>09 210 31 10</t>
  </si>
  <si>
    <t>03 771 08 84</t>
  </si>
  <si>
    <t>055 49 81 43</t>
  </si>
  <si>
    <t>09 336 00 00</t>
  </si>
  <si>
    <t>09 344 00 32</t>
  </si>
  <si>
    <t>09 331 53 63</t>
  </si>
  <si>
    <t>09 386 59 85</t>
  </si>
  <si>
    <t>03 827 78 78</t>
  </si>
  <si>
    <t>03 645 90 44</t>
  </si>
  <si>
    <t>09 384 24 76</t>
  </si>
  <si>
    <t>014 26 09 83</t>
  </si>
  <si>
    <t>014 31 50 00</t>
  </si>
  <si>
    <t>03 383 30 37</t>
  </si>
  <si>
    <t>014 51 29 29</t>
  </si>
  <si>
    <t>03 660 13 60</t>
  </si>
  <si>
    <t>03 660 07 70</t>
  </si>
  <si>
    <t>014 50 93 48</t>
  </si>
  <si>
    <t>03 312 18 16</t>
  </si>
  <si>
    <t>051 72 25 28</t>
  </si>
  <si>
    <t>03 651 49 07</t>
  </si>
  <si>
    <t>03 309 16 74</t>
  </si>
  <si>
    <t>03 667 37 23</t>
  </si>
  <si>
    <t>014 30 31 62</t>
  </si>
  <si>
    <t>03 774 28 76</t>
  </si>
  <si>
    <t>03 286 78 90</t>
  </si>
  <si>
    <t>014 37 83 13</t>
  </si>
  <si>
    <t>03 440 16 21</t>
  </si>
  <si>
    <t>03 666 73 93</t>
  </si>
  <si>
    <t>03 660 13 04</t>
  </si>
  <si>
    <t>014 58 91 30</t>
  </si>
  <si>
    <t>03 324 55 93</t>
  </si>
  <si>
    <t>09 235 22 00</t>
  </si>
  <si>
    <t>014 65 56 57</t>
  </si>
  <si>
    <t>03 658 79 45</t>
  </si>
  <si>
    <t>03 541 54 42</t>
  </si>
  <si>
    <t>03 491 92 35</t>
  </si>
  <si>
    <t>0478 48 12 69</t>
  </si>
  <si>
    <t>03 239 17 88</t>
  </si>
  <si>
    <t>015 22 22 98</t>
  </si>
  <si>
    <t>014 41 89 11</t>
  </si>
  <si>
    <t>02 215 02 03</t>
  </si>
  <si>
    <t>052 35 82 65</t>
  </si>
  <si>
    <t>016 39 90 23</t>
  </si>
  <si>
    <t>02 252 62 04</t>
  </si>
  <si>
    <t>015 73 04 56</t>
  </si>
  <si>
    <t>02 332 33 30</t>
  </si>
  <si>
    <t>011 78 20 88</t>
  </si>
  <si>
    <t>02 218 21 14</t>
  </si>
  <si>
    <t>02 423 42 65</t>
  </si>
  <si>
    <t>02 892 23 60</t>
  </si>
  <si>
    <t>02 381 08 38</t>
  </si>
  <si>
    <t>02 538 19 10</t>
  </si>
  <si>
    <t>02 732 17 04</t>
  </si>
  <si>
    <t>015 31 28 22</t>
  </si>
  <si>
    <t>KOMBO</t>
  </si>
  <si>
    <t>014 31 63 23</t>
  </si>
  <si>
    <t>0491 96 91 58</t>
  </si>
  <si>
    <t>014 28 68 90</t>
  </si>
  <si>
    <t>015 76 75 22</t>
  </si>
  <si>
    <t>056 24 04 40</t>
  </si>
  <si>
    <t>056 60 25 53</t>
  </si>
  <si>
    <t>02 254 88 44</t>
  </si>
  <si>
    <t>016 46 02 28</t>
  </si>
  <si>
    <t>013 35 14 70</t>
  </si>
  <si>
    <t>02 421 08 60</t>
  </si>
  <si>
    <t>02 582 18 84</t>
  </si>
  <si>
    <t>02 466 64 87</t>
  </si>
  <si>
    <t>02 657 01 40</t>
  </si>
  <si>
    <t>02 582 93 29</t>
  </si>
  <si>
    <t>016 60 38 55</t>
  </si>
  <si>
    <t>089 36 35 33</t>
  </si>
  <si>
    <t>011 82 43 66</t>
  </si>
  <si>
    <t>011 49 23 93</t>
  </si>
  <si>
    <t>03 383 10 31</t>
  </si>
  <si>
    <t>03 232 88 28</t>
  </si>
  <si>
    <t>089 70 25 46</t>
  </si>
  <si>
    <t>02 377 32 84</t>
  </si>
  <si>
    <t>03 828 25 87</t>
  </si>
  <si>
    <t>03 887 62 49</t>
  </si>
  <si>
    <t>02 270 94 80</t>
  </si>
  <si>
    <t>03 775 74 76</t>
  </si>
  <si>
    <t>02 380 88 11</t>
  </si>
  <si>
    <t>03 778 38 90</t>
  </si>
  <si>
    <t>014 41 33 53</t>
  </si>
  <si>
    <t>02 474 06 20</t>
  </si>
  <si>
    <t>09 355 76 17</t>
  </si>
  <si>
    <t>02 251 27 13</t>
  </si>
  <si>
    <t>09 251 13 32</t>
  </si>
  <si>
    <t>011 63 26 06</t>
  </si>
  <si>
    <t>02 720 09 89</t>
  </si>
  <si>
    <t>014 54 92 56</t>
  </si>
  <si>
    <t>053 62 21 58</t>
  </si>
  <si>
    <t>050 39 69 79</t>
  </si>
  <si>
    <t>052 30 35 82</t>
  </si>
  <si>
    <t>09 381 55 05</t>
  </si>
  <si>
    <t>02 468 16 16</t>
  </si>
  <si>
    <t>015 27 29 86</t>
  </si>
  <si>
    <t>02 427 12 69</t>
  </si>
  <si>
    <t>03 760 08 73</t>
  </si>
  <si>
    <t>056 70 31 92</t>
  </si>
  <si>
    <t>013 33 46 31</t>
  </si>
  <si>
    <t>053 60 58 67</t>
  </si>
  <si>
    <t>09 360 44 06</t>
  </si>
  <si>
    <t>09 372 78 26</t>
  </si>
  <si>
    <t>03 210 95 84</t>
  </si>
  <si>
    <t>03 455 31 41</t>
  </si>
  <si>
    <t>016 53 40 23</t>
  </si>
  <si>
    <t>02 479 26 82</t>
  </si>
  <si>
    <t>051 77 82 44</t>
  </si>
  <si>
    <t>09 228 44 70</t>
  </si>
  <si>
    <t>02 377 19 51</t>
  </si>
  <si>
    <t>03 235 66 43</t>
  </si>
  <si>
    <t>03 237 62 63</t>
  </si>
  <si>
    <t>012 74 13 95</t>
  </si>
  <si>
    <t>015 61 03 31</t>
  </si>
  <si>
    <t>011 48 04 00</t>
  </si>
  <si>
    <t>016 40 44 58</t>
  </si>
  <si>
    <t>050 59 94 78</t>
  </si>
  <si>
    <t>Katholieke scholengemeenschap basisonderwijs Maas &amp; Kempen</t>
  </si>
  <si>
    <t>089 56 54 95</t>
  </si>
  <si>
    <t>09 221 23 53</t>
  </si>
  <si>
    <t>050 40 41 68</t>
  </si>
  <si>
    <t>02 377 32 35</t>
  </si>
  <si>
    <t>02 569 55 78</t>
  </si>
  <si>
    <t>03 827 92 93</t>
  </si>
  <si>
    <t>089 84 99 10</t>
  </si>
  <si>
    <t>011 54 02 58</t>
  </si>
  <si>
    <t>02 521 82 98</t>
  </si>
  <si>
    <t>014 54 90 00</t>
  </si>
  <si>
    <t>Lestijden vervolgjaar voor gewezen anderstalige nieuwkomers</t>
  </si>
  <si>
    <t>Aanvraag van aanvullende lestijden in onthaalonderwijs voor anderstalige nieuwkomers en gewezen anderstalige nieuwkomers per scholengemeenschap geteld</t>
  </si>
  <si>
    <t>Als het document is opgeladen, vindt u het terug bij het tabblad 'Documenten' bij 'Verstuurd door instelling'.</t>
  </si>
  <si>
    <t>Dien het formulier pas in als er geen foutmeldingen meer worden getoond.</t>
  </si>
  <si>
    <r>
      <rPr>
        <i/>
        <sz val="10"/>
        <rFont val="Calibri"/>
        <family val="2"/>
        <scheme val="minor"/>
      </rPr>
      <t>Meer informatie over de manier waarop u dit formulier moet invullen en de meest recente versie van dit formulier vindt u in de omzendbrief</t>
    </r>
    <r>
      <rPr>
        <i/>
        <u/>
        <sz val="10"/>
        <color indexed="12"/>
        <rFont val="Calibri"/>
        <family val="2"/>
        <scheme val="minor"/>
      </rPr>
      <t>BaO/2006/03</t>
    </r>
    <r>
      <rPr>
        <i/>
        <sz val="10"/>
        <rFont val="Calibri"/>
        <family val="2"/>
        <scheme val="minor"/>
      </rPr>
      <t xml:space="preserve">van 30 juni 2006 over onthaalonderwijs voor anderstalige nieuwkomers. </t>
    </r>
  </si>
  <si>
    <t>//////////////////////////////////////////////////////////////////////////////////////////////////////////////////////////////////////////////////////////////////////////////////////////////////////////////////////////////////////////////////////////////////////////////////////////////////////////////////////////////////////////</t>
  </si>
  <si>
    <t>VBS Mandelbloesem</t>
  </si>
  <si>
    <t>089 76 47 21</t>
  </si>
  <si>
    <t>089 79 00 68</t>
  </si>
  <si>
    <t>VBS De Geluksvlinder</t>
  </si>
  <si>
    <t>Beringsesteenweg 12</t>
  </si>
  <si>
    <t>Steffi Dejaeghere</t>
  </si>
  <si>
    <t>02 553 18 19</t>
  </si>
  <si>
    <t>steffi.dejaeghere@ond.vlaanderen.be</t>
  </si>
  <si>
    <t>VBS Sint Joris</t>
  </si>
  <si>
    <t>VBS Regina Pacis 2</t>
  </si>
  <si>
    <t>VBS Sint- Katrien</t>
  </si>
  <si>
    <t>Bewonderwijs</t>
  </si>
  <si>
    <t>VBS Prizma-De Talententuin</t>
  </si>
  <si>
    <t>SBS De Bijtjes</t>
  </si>
  <si>
    <t>SBS Kuringen</t>
  </si>
  <si>
    <t>VBS Eernegem - Bekegem</t>
  </si>
  <si>
    <t>Scholengemeenschap Heusden-Zolder</t>
  </si>
  <si>
    <t>Stedelijk Basisonderwijs Brugge Beiresterk Onderwijs</t>
  </si>
  <si>
    <t>03 889 39 16</t>
  </si>
  <si>
    <t>A GO! Next</t>
  </si>
  <si>
    <t>GO!Next Wonderwijs</t>
  </si>
  <si>
    <t>GBS Het Nest</t>
  </si>
  <si>
    <t>016 61 64 90</t>
  </si>
  <si>
    <t>050 72 98 87</t>
  </si>
  <si>
    <t>GLS De Wissel</t>
  </si>
  <si>
    <t>02 759 65 33</t>
  </si>
  <si>
    <t>013 44 33 63</t>
  </si>
  <si>
    <t>GO! BS De Suikerspin</t>
  </si>
  <si>
    <t>GO! BS De Bij Liedekerke</t>
  </si>
  <si>
    <t>VBS Glorieux 3</t>
  </si>
  <si>
    <t>09 341 82 36</t>
  </si>
  <si>
    <t>GO! SportBS in beweging Hamme</t>
  </si>
  <si>
    <t>GO! BS Graaf Van Egmont_Zottegem</t>
  </si>
  <si>
    <t>GO! BS De Vierklaver_Temse</t>
  </si>
  <si>
    <t>VBS Sint-Laurens_Zelzate West</t>
  </si>
  <si>
    <t>GBS De Bosrank</t>
  </si>
  <si>
    <t>VBS Mariagaard</t>
  </si>
  <si>
    <t>VKS De Klimtoren</t>
  </si>
  <si>
    <t>014 85 00 66</t>
  </si>
  <si>
    <t>VKS Virgo Maria</t>
  </si>
  <si>
    <t>03 645 56 29</t>
  </si>
  <si>
    <t>VLS Mariaberg</t>
  </si>
  <si>
    <t>Katholieke Scholen aan Schelde</t>
  </si>
  <si>
    <t>VBS OLV</t>
  </si>
  <si>
    <t>VKS Sint-Dimpna</t>
  </si>
  <si>
    <t>GO! BS STEM De Trampoline</t>
  </si>
  <si>
    <t>GO! BS Atheneum Etterbeek</t>
  </si>
  <si>
    <t>VBS De Lettermolen</t>
  </si>
  <si>
    <t>VBS Sint-Lucia</t>
  </si>
  <si>
    <t>VBS OLVcollege</t>
  </si>
  <si>
    <t>VBS Rozenkransschool</t>
  </si>
  <si>
    <t>GO! BS 't Plant'zoentje Laken</t>
  </si>
  <si>
    <t>GO! BS De Vogelzang</t>
  </si>
  <si>
    <t>VBS Klimop (MS)</t>
  </si>
  <si>
    <t>GO! BS De Kleurenplaneet_Deinze</t>
  </si>
  <si>
    <t>GO! BS Unescoschool Koekelberg</t>
  </si>
  <si>
    <t>VBS SintJozefscollege</t>
  </si>
  <si>
    <t>GO! BS De Spits Antwerpen</t>
  </si>
  <si>
    <t>VBS Mater Christi</t>
  </si>
  <si>
    <t>GO! BS De kleine geuzen jette</t>
  </si>
  <si>
    <t>GBS De Zonnebloem</t>
  </si>
  <si>
    <t>GO! BS De Linde Borgloon</t>
  </si>
  <si>
    <t>GO! freinetschool Het Wijdeland_Brustem</t>
  </si>
  <si>
    <t>Archipel!</t>
  </si>
  <si>
    <t>SGE GO! 4-1</t>
  </si>
  <si>
    <t>GO! BS Stippe Stap Genk</t>
  </si>
  <si>
    <t>053 78 73 99</t>
  </si>
  <si>
    <t>Begindatum</t>
  </si>
  <si>
    <t>Einddatum</t>
  </si>
  <si>
    <t>schooljaar 2027-2028</t>
  </si>
  <si>
    <t>schooljaar 2028-2029</t>
  </si>
  <si>
    <t>eline.vanweyenbergh@ond.vlaanderen.be</t>
  </si>
  <si>
    <t>SBS De Geluksvogel</t>
  </si>
  <si>
    <t>GO! BS Het Open Groene_Marke</t>
  </si>
  <si>
    <t>GO! BS De Plataan_Roeselare</t>
  </si>
  <si>
    <t>VBS Centrumschool</t>
  </si>
  <si>
    <t>GO! Freinetschool De Zwierezwaai</t>
  </si>
  <si>
    <t>Klokkuil 3</t>
  </si>
  <si>
    <t>In de vragen die u moet beantwoorden, hoeft u alleen de grijze cellen in te vullen. De overige berekeningen en controles worden automatisch uitgevoerd.</t>
  </si>
  <si>
    <r>
      <t>Voor een vlotte verwerking is het belangrijk dat u het formulier</t>
    </r>
    <r>
      <rPr>
        <i/>
        <u/>
        <sz val="10"/>
        <rFont val="Calibri"/>
        <family val="2"/>
      </rPr>
      <t>in één pdf-bestand</t>
    </r>
    <r>
      <rPr>
        <i/>
        <sz val="10"/>
        <rFont val="Calibri"/>
        <family val="2"/>
      </rPr>
      <t>doorstuurt, waarbij de bladen in de juiste richting en in de juiste numerieke volgorde zijn ingescand.</t>
    </r>
  </si>
  <si>
    <t>Claudia Bresolin</t>
  </si>
  <si>
    <t>02 553 13 58</t>
  </si>
  <si>
    <t>claudia.bresolin@ond.vlaanderen.be</t>
  </si>
  <si>
    <t>Silke Vanheer</t>
  </si>
  <si>
    <t>02 553 63 51</t>
  </si>
  <si>
    <t>silke.vanheer@ond.vlaanderen.be</t>
  </si>
  <si>
    <t>09 235 31 10</t>
  </si>
  <si>
    <t>059 70 20 03</t>
  </si>
  <si>
    <t>050 81 18 10</t>
  </si>
  <si>
    <t>056 41 14 72</t>
  </si>
  <si>
    <t>VBS Steinerschool Lohrangrin</t>
  </si>
  <si>
    <t>Stedelijke basisscholen Dendermonde</t>
  </si>
  <si>
    <t>SBS De Schakel</t>
  </si>
  <si>
    <t>GO! BS De Spoorzoeker</t>
  </si>
  <si>
    <t>VBS Biekorfje Aalbeke</t>
  </si>
  <si>
    <t>GO! BS De Pluim</t>
  </si>
  <si>
    <t>VBS Lilare</t>
  </si>
  <si>
    <t>055 42 17 89</t>
  </si>
  <si>
    <t>050 41 69 68</t>
  </si>
  <si>
    <t>SBS Denderwindeke</t>
  </si>
  <si>
    <t>VBS Kwikstaartje</t>
  </si>
  <si>
    <t>09 369 44 46</t>
  </si>
  <si>
    <t>VBS Hartencollege Weggevoerdenstraat</t>
  </si>
  <si>
    <t>09 323 58 30</t>
  </si>
  <si>
    <t>089 39 10 50</t>
  </si>
  <si>
    <t>Janseniusstraat 2_A</t>
  </si>
  <si>
    <t>016 79 09 22</t>
  </si>
  <si>
    <t>02 363 85 89</t>
  </si>
  <si>
    <t>1F3C8E-3211-02-230802</t>
  </si>
  <si>
    <t>1210 BRUSSEL</t>
  </si>
  <si>
    <t>Koning Albert II-laan 15 bus 137</t>
  </si>
  <si>
    <r>
      <t>Bezorg ons</t>
    </r>
    <r>
      <rPr>
        <i/>
        <u/>
        <sz val="10"/>
        <rFont val="Calibri"/>
        <family val="2"/>
        <scheme val="minor"/>
      </rPr>
      <t>onmiddellijk</t>
    </r>
    <r>
      <rPr>
        <i/>
        <sz val="10"/>
        <rFont val="Calibri"/>
        <family val="2"/>
        <scheme val="minor"/>
      </rPr>
      <t>het formulier</t>
    </r>
    <r>
      <rPr>
        <i/>
        <u/>
        <sz val="10"/>
        <rFont val="Calibri"/>
        <family val="2"/>
        <scheme val="minor"/>
      </rPr>
      <t>in één pdf-bestand</t>
    </r>
    <r>
      <rPr>
        <i/>
        <sz val="10"/>
        <rFont val="Calibri"/>
        <family val="2"/>
        <scheme val="minor"/>
      </rPr>
      <t>via Mijn Onderwijs.
Aanvragen van aanvullende lestijden voor</t>
    </r>
    <r>
      <rPr>
        <i/>
        <u/>
        <sz val="10"/>
        <rFont val="Calibri"/>
        <family val="2"/>
        <scheme val="minor"/>
      </rPr>
      <t>gewezen</t>
    </r>
    <r>
      <rPr>
        <i/>
        <sz val="10"/>
        <rFont val="Calibri"/>
        <family val="2"/>
        <scheme val="minor"/>
      </rPr>
      <t>anderstalige nieuwkomers moeten ons</t>
    </r>
    <r>
      <rPr>
        <i/>
        <u/>
        <sz val="10"/>
        <rFont val="Calibri"/>
        <family val="2"/>
        <scheme val="minor"/>
      </rPr>
      <t>uiterlijk op 15 oktober</t>
    </r>
    <r>
      <rPr>
        <i/>
        <sz val="10"/>
        <rFont val="Calibri"/>
        <family val="2"/>
        <scheme val="minor"/>
      </rPr>
      <t>worden bezorgd.</t>
    </r>
    <r>
      <rPr>
        <i/>
        <u/>
        <sz val="10"/>
        <rFont val="Calibri"/>
        <family val="2"/>
        <scheme val="minor"/>
      </rPr>
      <t>Die gegevens mogen maar één keer per schooljaar worden gemeld!</t>
    </r>
    <r>
      <rPr>
        <i/>
        <sz val="10"/>
        <rFont val="Calibri"/>
        <family val="2"/>
        <scheme val="minor"/>
      </rPr>
      <t xml:space="preserve">
Opgelet: om dit formulier te versturen, hebt u toegang nodig tot het thema 'Omkadering en toelagen' in Mijn Onderwijs. U kunt die rechten nakijken in Mijn Onderwijs onder het tabblad 'Mijn profiel' bij 'Mijn thema's'.</t>
    </r>
  </si>
  <si>
    <t>Selecteer het type formulier dat u wilt doorsturen. (Dit formulier is AN SG: SBT Basis - Anderstalige nieuwkomers per scholengemeenschap.)</t>
  </si>
  <si>
    <t xml:space="preserve">Meldingen die in verschillende bestanden worden verstuurd, kunnen niet worden verwerkt.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</si>
</sst>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4" x14ac:knownFonts="1">
    <font>
      <sz val="10"/>
      <name val="Arial"/>
    </font>
    <font>
      <sz val="10"/>
      <name val="Arial"/>
      <family val="2"/>
    </font>
    <font>
      <sz val="8"/>
      <name val="Arial"/>
      <family val="2"/>
    </font>
    <font>
      <u/>
      <sz val="7.5"/>
      <color indexed="12"/>
      <name val="Arial"/>
      <family val="2"/>
    </font>
    <font>
      <b/>
      <sz val="9"/>
      <color indexed="81"/>
      <name val="Tahoma"/>
      <family val="2"/>
    </font>
    <font>
      <sz val="10"/>
      <color indexed="8"/>
      <name val="Arial"/>
      <family val="2"/>
    </font>
    <font>
      <sz val="8"/>
      <name val="Arial"/>
      <family val="2"/>
    </font>
    <font>
      <sz val="11"/>
      <color indexed="8"/>
      <name val="Calibri"/>
      <family val="2"/>
    </font>
    <font>
      <sz val="11"/>
      <name val="Calibri"/>
      <family val="2"/>
      <scheme val="minor"/>
    </font>
    <font>
      <sz val="10"/>
      <name val="Calibri"/>
      <family val="2"/>
      <scheme val="minor"/>
    </font>
    <font>
      <b/>
      <sz val="11"/>
      <name val="Calibri"/>
      <family val="2"/>
      <scheme val="minor"/>
    </font>
    <font>
      <b/>
      <sz val="10"/>
      <name val="Calibri"/>
      <family val="2"/>
      <scheme val="minor"/>
    </font>
    <font>
      <sz val="11"/>
      <color indexed="10"/>
      <name val="Calibri"/>
      <family val="2"/>
      <scheme val="minor"/>
    </font>
    <font>
      <i/>
      <sz val="9"/>
      <color indexed="10"/>
      <name val="Calibri"/>
      <family val="2"/>
      <scheme val="minor"/>
    </font>
    <font>
      <i/>
      <sz val="9"/>
      <name val="Calibri"/>
      <family val="2"/>
      <scheme val="minor"/>
    </font>
    <font>
      <b/>
      <sz val="11"/>
      <color indexed="9"/>
      <name val="Calibri"/>
      <family val="2"/>
      <scheme val="minor"/>
    </font>
    <font>
      <i/>
      <sz val="11"/>
      <name val="Calibri"/>
      <family val="2"/>
      <scheme val="minor"/>
    </font>
    <font>
      <b/>
      <i/>
      <sz val="11"/>
      <name val="Calibri"/>
      <family val="2"/>
      <scheme val="minor"/>
    </font>
    <font>
      <b/>
      <sz val="6"/>
      <color indexed="10"/>
      <name val="Calibri"/>
      <family val="2"/>
      <scheme val="minor"/>
    </font>
    <font>
      <b/>
      <sz val="9"/>
      <color indexed="10"/>
      <name val="Calibri"/>
      <family val="2"/>
      <scheme val="minor"/>
    </font>
    <font>
      <sz val="9"/>
      <color indexed="10"/>
      <name val="Calibri"/>
      <family val="2"/>
      <scheme val="minor"/>
    </font>
    <font>
      <b/>
      <i/>
      <sz val="10"/>
      <name val="Calibri"/>
      <family val="2"/>
      <scheme val="minor"/>
    </font>
    <font>
      <i/>
      <sz val="10"/>
      <name val="Calibri"/>
      <family val="2"/>
      <scheme val="minor"/>
    </font>
    <font>
      <i/>
      <sz val="10"/>
      <color indexed="10"/>
      <name val="Calibri"/>
      <family val="2"/>
      <scheme val="minor"/>
    </font>
    <font>
      <u/>
      <sz val="10"/>
      <color indexed="12"/>
      <name val="Calibri"/>
      <family val="2"/>
      <scheme val="minor"/>
    </font>
    <font>
      <sz val="10"/>
      <color indexed="10"/>
      <name val="Calibri"/>
      <family val="2"/>
      <scheme val="minor"/>
    </font>
    <font>
      <b/>
      <sz val="10"/>
      <color indexed="10"/>
      <name val="Calibri"/>
      <family val="2"/>
      <scheme val="minor"/>
    </font>
    <font>
      <b/>
      <sz val="18"/>
      <name val="Calibri"/>
      <family val="2"/>
      <scheme val="minor"/>
    </font>
    <font>
      <sz val="18"/>
      <name val="Calibri"/>
      <family val="2"/>
      <scheme val="minor"/>
    </font>
    <font>
      <sz val="6"/>
      <name val="Calibri"/>
      <family val="2"/>
      <scheme val="minor"/>
    </font>
    <font>
      <b/>
      <sz val="8"/>
      <name val="Calibri"/>
      <family val="2"/>
      <scheme val="minor"/>
    </font>
    <font>
      <b/>
      <sz val="12"/>
      <color theme="0"/>
      <name val="Calibri"/>
      <family val="2"/>
      <scheme val="minor"/>
    </font>
    <font>
      <sz val="12"/>
      <color theme="0"/>
      <name val="Calibri"/>
      <family val="2"/>
      <scheme val="minor"/>
    </font>
    <font>
      <i/>
      <u/>
      <sz val="10"/>
      <color indexed="12"/>
      <name val="Calibri"/>
      <family val="2"/>
      <scheme val="minor"/>
    </font>
    <font>
      <b/>
      <sz val="10"/>
      <color rgb="FFFF0000"/>
      <name val="Calibri"/>
      <family val="2"/>
      <scheme val="minor"/>
    </font>
    <font>
      <b/>
      <sz val="11"/>
      <color indexed="10"/>
      <name val="Calibri"/>
      <family val="2"/>
      <scheme val="minor"/>
    </font>
    <font>
      <i/>
      <u/>
      <sz val="10"/>
      <name val="Calibri"/>
      <family val="2"/>
      <scheme val="minor"/>
    </font>
    <font>
      <sz val="11"/>
      <name val="Garamond"/>
      <family val="1"/>
    </font>
    <font>
      <sz val="10"/>
      <color rgb="FF00B050"/>
      <name val="Calibri"/>
      <family val="2"/>
      <scheme val="minor"/>
    </font>
    <font>
      <b/>
      <sz val="10"/>
      <color rgb="FF00B050"/>
      <name val="Calibri"/>
      <family val="2"/>
      <scheme val="minor"/>
    </font>
    <font>
      <b/>
      <i/>
      <sz val="9"/>
      <color indexed="10"/>
      <name val="Calibri"/>
      <family val="2"/>
      <scheme val="minor"/>
    </font>
    <font>
      <sz val="9"/>
      <name val="Arial"/>
      <family val="2"/>
    </font>
    <font>
      <i/>
      <sz val="10"/>
      <name val="Calibri"/>
      <family val="2"/>
    </font>
    <font>
      <i/>
      <u/>
      <sz val="10"/>
      <name val="Calibri"/>
      <family val="2"/>
    </font>
  </fonts>
  <fills count="7">
    <fill>
      <patternFill patternType="none"/>
    </fill>
    <fill>
      <patternFill patternType="gray125"/>
    </fill>
    <fill>
      <patternFill patternType="solid">
        <fgColor indexed="22"/>
        <bgColor indexed="0"/>
      </patternFill>
    </fill>
    <fill>
      <patternFill patternType="solid">
        <fgColor indexed="47"/>
        <bgColor indexed="64"/>
      </patternFill>
    </fill>
    <fill>
      <patternFill patternType="solid">
        <fgColor theme="1" tint="0.34998626667073579"/>
        <bgColor indexed="64"/>
      </patternFill>
    </fill>
    <fill>
      <patternFill patternType="solid">
        <fgColor theme="0" tint="-0.14996795556505021"/>
        <bgColor indexed="64"/>
      </patternFill>
    </fill>
    <fill>
      <patternFill patternType="solid">
        <fgColor rgb="FFFFFF00"/>
        <bgColor indexed="64"/>
      </patternFill>
    </fill>
  </fills>
  <borders count="50">
    <border>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23"/>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286">
    <xf numFmtId="0" fontId="0" fillId="0" borderId="0" xfId="0"/>
    <xf numFmtId="0" fontId="1" fillId="0" borderId="0" xfId="0" applyFont="1"/>
    <xf numFmtId="1" fontId="0" fillId="0" borderId="0" xfId="0" applyNumberFormat="1"/>
    <xf numFmtId="14" fontId="0" fillId="0" borderId="0" xfId="0" applyNumberFormat="1"/>
    <xf numFmtId="0" fontId="8" fillId="0" borderId="0" xfId="0" applyFont="1" applyBorder="1" applyProtection="1">
      <protection hidden="1"/>
    </xf>
    <xf numFmtId="0" fontId="8" fillId="0" borderId="0" xfId="0" applyFont="1" applyProtection="1">
      <protection hidden="1"/>
    </xf>
    <xf numFmtId="0" fontId="9" fillId="0" borderId="0" xfId="0" applyFont="1" applyAlignment="1" applyProtection="1">
      <protection hidden="1"/>
    </xf>
    <xf numFmtId="0" fontId="9" fillId="0" borderId="0" xfId="0" applyFont="1" applyAlignment="1" applyProtection="1">
      <alignment wrapText="1"/>
      <protection hidden="1"/>
    </xf>
    <xf numFmtId="0" fontId="12" fillId="0" borderId="0" xfId="0" applyFont="1" applyProtection="1">
      <protection hidden="1"/>
    </xf>
    <xf numFmtId="0" fontId="13" fillId="0" borderId="0" xfId="0" applyFont="1" applyAlignment="1" applyProtection="1">
      <alignment horizontal="left"/>
      <protection hidden="1"/>
    </xf>
    <xf numFmtId="0" fontId="14" fillId="0" borderId="0" xfId="0" applyFont="1" applyAlignment="1" applyProtection="1">
      <alignment vertical="top"/>
      <protection hidden="1"/>
    </xf>
    <xf numFmtId="0" fontId="8" fillId="0" borderId="0" xfId="0" applyFont="1" applyFill="1" applyBorder="1" applyProtection="1">
      <protection hidden="1"/>
    </xf>
    <xf numFmtId="0" fontId="15" fillId="0" borderId="0" xfId="0" applyFont="1" applyFill="1" applyProtection="1">
      <protection hidden="1"/>
    </xf>
    <xf numFmtId="0" fontId="8" fillId="0" borderId="0" xfId="0" applyFont="1" applyFill="1" applyProtection="1">
      <protection hidden="1"/>
    </xf>
    <xf numFmtId="0" fontId="9" fillId="0" borderId="0" xfId="0" applyFont="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0" xfId="0" applyFont="1" applyBorder="1" applyAlignment="1" applyProtection="1">
      <protection hidden="1"/>
    </xf>
    <xf numFmtId="0" fontId="8" fillId="0" borderId="0" xfId="0" applyFont="1" applyBorder="1" applyAlignment="1" applyProtection="1">
      <alignment horizontal="right"/>
      <protection hidden="1"/>
    </xf>
    <xf numFmtId="0" fontId="8" fillId="0" borderId="0" xfId="0" applyFont="1" applyFill="1" applyBorder="1" applyAlignment="1" applyProtection="1">
      <alignment horizontal="center"/>
      <protection hidden="1"/>
    </xf>
    <xf numFmtId="0" fontId="16" fillId="0" borderId="0" xfId="0" quotePrefix="1" applyFont="1" applyBorder="1" applyProtection="1">
      <protection hidden="1"/>
    </xf>
    <xf numFmtId="0" fontId="16" fillId="0" borderId="0" xfId="0" quotePrefix="1" applyFont="1" applyFill="1" applyBorder="1" applyProtection="1">
      <protection hidden="1"/>
    </xf>
    <xf numFmtId="0" fontId="10" fillId="0" borderId="0" xfId="0" applyFont="1" applyFill="1" applyProtection="1">
      <protection hidden="1"/>
    </xf>
    <xf numFmtId="0" fontId="16" fillId="0" borderId="0" xfId="0" applyFont="1" applyFill="1" applyBorder="1" applyProtection="1">
      <protection hidden="1"/>
    </xf>
    <xf numFmtId="0" fontId="10" fillId="0" borderId="0" xfId="0" quotePrefix="1" applyFont="1" applyBorder="1" applyProtection="1">
      <protection hidden="1"/>
    </xf>
    <xf numFmtId="0" fontId="8" fillId="0" borderId="0" xfId="0" quotePrefix="1" applyFont="1" applyBorder="1" applyProtection="1">
      <protection hidden="1"/>
    </xf>
    <xf numFmtId="0" fontId="8" fillId="0" borderId="0" xfId="0" quotePrefix="1" applyFont="1" applyFill="1" applyBorder="1" applyProtection="1">
      <protection hidden="1"/>
    </xf>
    <xf numFmtId="0" fontId="8" fillId="0" borderId="0" xfId="0" applyFont="1" applyFill="1" applyAlignment="1" applyProtection="1">
      <alignment horizontal="center"/>
      <protection hidden="1"/>
    </xf>
    <xf numFmtId="0" fontId="17" fillId="0" borderId="0" xfId="0" quotePrefix="1" applyFont="1" applyBorder="1" applyProtection="1">
      <protection hidden="1"/>
    </xf>
    <xf numFmtId="0" fontId="17" fillId="0" borderId="0" xfId="0" quotePrefix="1" applyFont="1" applyFill="1" applyBorder="1" applyProtection="1">
      <protection hidden="1"/>
    </xf>
    <xf numFmtId="0" fontId="17" fillId="0" borderId="0" xfId="0" applyFont="1" applyFill="1" applyBorder="1" applyProtection="1">
      <protection hidden="1"/>
    </xf>
    <xf numFmtId="0" fontId="9" fillId="0" borderId="0" xfId="0" applyFont="1" applyAlignment="1" applyProtection="1">
      <alignment horizontal="left"/>
      <protection hidden="1"/>
    </xf>
    <xf numFmtId="0" fontId="16" fillId="0" borderId="0" xfId="0" applyFont="1" applyBorder="1" applyProtection="1">
      <protection hidden="1"/>
    </xf>
    <xf numFmtId="0" fontId="11" fillId="0" borderId="1" xfId="0" applyFont="1" applyBorder="1" applyAlignment="1" applyProtection="1">
      <alignment vertical="center"/>
      <protection hidden="1"/>
    </xf>
    <xf numFmtId="0" fontId="9" fillId="0" borderId="0" xfId="0" applyFont="1" applyBorder="1" applyProtection="1">
      <protection locked="0" hidden="1"/>
    </xf>
    <xf numFmtId="0" fontId="9" fillId="0" borderId="0" xfId="0" applyFont="1" applyBorder="1" applyProtection="1">
      <protection hidden="1"/>
    </xf>
    <xf numFmtId="0" fontId="11" fillId="0" borderId="0" xfId="0" applyFont="1" applyBorder="1" applyProtection="1">
      <protection hidden="1"/>
    </xf>
    <xf numFmtId="0" fontId="16" fillId="0" borderId="0" xfId="0" applyFont="1" applyBorder="1" applyAlignment="1" applyProtection="1">
      <alignment vertical="top" wrapText="1"/>
      <protection hidden="1"/>
    </xf>
    <xf numFmtId="0" fontId="19" fillId="0" borderId="0" xfId="0" applyFont="1" applyAlignment="1" applyProtection="1">
      <alignment vertical="center"/>
      <protection hidden="1"/>
    </xf>
    <xf numFmtId="0" fontId="20" fillId="0" borderId="0" xfId="0" applyFont="1" applyProtection="1">
      <protection hidden="1"/>
    </xf>
    <xf numFmtId="0" fontId="9" fillId="0" borderId="0" xfId="0" applyFont="1" applyProtection="1">
      <protection hidden="1"/>
    </xf>
    <xf numFmtId="0" fontId="11" fillId="0" borderId="0" xfId="0" applyFont="1" applyProtection="1">
      <protection hidden="1"/>
    </xf>
    <xf numFmtId="0" fontId="21" fillId="0" borderId="0" xfId="0" applyFont="1" applyAlignment="1" applyProtection="1">
      <alignment vertical="top"/>
      <protection hidden="1"/>
    </xf>
    <xf numFmtId="0" fontId="22" fillId="0" borderId="0" xfId="0" applyFont="1" applyAlignment="1" applyProtection="1">
      <alignment horizontal="justify" vertical="top" wrapText="1"/>
      <protection hidden="1"/>
    </xf>
    <xf numFmtId="0" fontId="22" fillId="0" borderId="0" xfId="0" applyFont="1" applyAlignment="1" applyProtection="1">
      <alignment horizontal="justify" vertical="top"/>
      <protection hidden="1"/>
    </xf>
    <xf numFmtId="0" fontId="23" fillId="0" borderId="0" xfId="0" applyFont="1" applyAlignment="1" applyProtection="1">
      <alignment horizontal="left"/>
      <protection hidden="1"/>
    </xf>
    <xf numFmtId="0" fontId="22" fillId="0" borderId="0" xfId="0" applyFont="1" applyAlignment="1" applyProtection="1">
      <alignment horizontal="left" vertical="center"/>
      <protection hidden="1"/>
    </xf>
    <xf numFmtId="0" fontId="22" fillId="0" borderId="0" xfId="0" applyFont="1" applyAlignment="1" applyProtection="1">
      <alignment horizontal="left"/>
      <protection hidden="1"/>
    </xf>
    <xf numFmtId="0" fontId="22" fillId="0" borderId="0" xfId="0" applyFont="1" applyBorder="1" applyAlignment="1" applyProtection="1">
      <alignment horizontal="left"/>
      <protection hidden="1"/>
    </xf>
    <xf numFmtId="0" fontId="24" fillId="0" borderId="0" xfId="1" applyFont="1" applyAlignment="1" applyProtection="1">
      <alignment horizontal="left" vertical="top" wrapText="1"/>
      <protection hidden="1"/>
    </xf>
    <xf numFmtId="0" fontId="9" fillId="0" borderId="0" xfId="0" applyFont="1" applyAlignment="1" applyProtection="1">
      <alignment horizontal="left" vertical="top"/>
      <protection hidden="1"/>
    </xf>
    <xf numFmtId="0" fontId="11" fillId="0" borderId="0" xfId="0" applyFont="1" applyBorder="1" applyAlignment="1" applyProtection="1">
      <alignment horizontal="right"/>
      <protection hidden="1"/>
    </xf>
    <xf numFmtId="0" fontId="9" fillId="0" borderId="0" xfId="0" applyFont="1" applyFill="1" applyAlignment="1" applyProtection="1">
      <alignment horizontal="center"/>
      <protection locked="0" hidden="1"/>
    </xf>
    <xf numFmtId="0" fontId="9" fillId="0" borderId="0" xfId="0" applyFont="1" applyAlignment="1" applyProtection="1">
      <alignment horizontal="right"/>
      <protection hidden="1"/>
    </xf>
    <xf numFmtId="0" fontId="9" fillId="0" borderId="0" xfId="0" applyFont="1" applyFill="1" applyAlignment="1" applyProtection="1">
      <alignment horizontal="left" vertical="justify"/>
      <protection locked="0" hidden="1"/>
    </xf>
    <xf numFmtId="0" fontId="9" fillId="0" borderId="0" xfId="0" applyFont="1" applyFill="1" applyBorder="1" applyProtection="1">
      <protection hidden="1"/>
    </xf>
    <xf numFmtId="0" fontId="9" fillId="0" borderId="0" xfId="0" applyFont="1" applyFill="1" applyProtection="1">
      <protection hidden="1"/>
    </xf>
    <xf numFmtId="0" fontId="9" fillId="0" borderId="0" xfId="0" applyFont="1" applyFill="1" applyAlignment="1" applyProtection="1">
      <alignment horizontal="right"/>
      <protection hidden="1"/>
    </xf>
    <xf numFmtId="0" fontId="9" fillId="0" borderId="0" xfId="0" applyFont="1" applyFill="1" applyAlignment="1" applyProtection="1">
      <alignment horizontal="left" vertical="justify"/>
      <protection hidden="1"/>
    </xf>
    <xf numFmtId="0" fontId="9" fillId="0" borderId="0" xfId="0" applyFont="1" applyAlignment="1" applyProtection="1">
      <alignment horizontal="right" wrapText="1"/>
      <protection hidden="1"/>
    </xf>
    <xf numFmtId="0" fontId="9" fillId="0" borderId="0" xfId="0" applyFont="1" applyFill="1" applyAlignment="1" applyProtection="1">
      <alignment horizontal="left"/>
      <protection locked="0" hidden="1"/>
    </xf>
    <xf numFmtId="0" fontId="9" fillId="0" borderId="0" xfId="0" applyFont="1" applyFill="1" applyBorder="1" applyAlignment="1" applyProtection="1">
      <alignment horizontal="left"/>
      <protection locked="0" hidden="1"/>
    </xf>
    <xf numFmtId="0" fontId="22" fillId="0" borderId="0" xfId="0" applyFont="1" applyFill="1" applyProtection="1">
      <protection hidden="1"/>
    </xf>
    <xf numFmtId="0" fontId="9" fillId="0" borderId="0" xfId="0" applyFont="1" applyAlignment="1" applyProtection="1">
      <alignment horizontal="center"/>
      <protection hidden="1"/>
    </xf>
    <xf numFmtId="0" fontId="11" fillId="0" borderId="0" xfId="0" quotePrefix="1" applyFont="1" applyBorder="1" applyProtection="1">
      <protection hidden="1"/>
    </xf>
    <xf numFmtId="0" fontId="9" fillId="0" borderId="0" xfId="0" applyFont="1" applyBorder="1" applyAlignment="1" applyProtection="1">
      <alignment horizontal="centerContinuous" vertical="center"/>
      <protection hidden="1"/>
    </xf>
    <xf numFmtId="0" fontId="11" fillId="0" borderId="0" xfId="0" quotePrefix="1" applyFont="1" applyBorder="1" applyAlignment="1" applyProtection="1">
      <alignment horizontal="center" vertical="center"/>
      <protection hidden="1"/>
    </xf>
    <xf numFmtId="0" fontId="9" fillId="0" borderId="0" xfId="0" quotePrefix="1" applyFont="1" applyBorder="1" applyProtection="1">
      <protection hidden="1"/>
    </xf>
    <xf numFmtId="0" fontId="22" fillId="0" borderId="0" xfId="0" applyFont="1" applyBorder="1" applyProtection="1">
      <protection hidden="1"/>
    </xf>
    <xf numFmtId="0" fontId="22" fillId="0" borderId="0" xfId="0" applyFont="1" applyBorder="1" applyAlignment="1" applyProtection="1">
      <alignment horizontal="centerContinuous" vertical="center"/>
      <protection hidden="1"/>
    </xf>
    <xf numFmtId="0" fontId="21" fillId="0" borderId="0" xfId="0" quotePrefix="1" applyFont="1" applyBorder="1" applyAlignment="1" applyProtection="1">
      <alignment horizontal="center" vertical="center"/>
      <protection hidden="1"/>
    </xf>
    <xf numFmtId="0" fontId="22" fillId="0" borderId="0" xfId="0" applyFont="1" applyProtection="1">
      <protection hidden="1"/>
    </xf>
    <xf numFmtId="0" fontId="9" fillId="0" borderId="0" xfId="0" quotePrefix="1" applyFont="1" applyFill="1" applyBorder="1" applyProtection="1">
      <protection hidden="1"/>
    </xf>
    <xf numFmtId="0" fontId="9" fillId="0" borderId="0" xfId="0" applyFont="1" applyFill="1" applyAlignment="1" applyProtection="1">
      <alignment horizontal="center"/>
      <protection hidden="1"/>
    </xf>
    <xf numFmtId="0" fontId="11" fillId="0" borderId="0" xfId="0" applyFont="1" applyFill="1" applyProtection="1">
      <protection hidden="1"/>
    </xf>
    <xf numFmtId="0" fontId="22" fillId="0" borderId="0" xfId="0" applyFont="1" applyFill="1" applyBorder="1" applyProtection="1">
      <protection hidden="1"/>
    </xf>
    <xf numFmtId="0" fontId="21" fillId="0" borderId="0" xfId="0" applyFont="1" applyBorder="1" applyAlignment="1" applyProtection="1">
      <alignment vertical="top" wrapText="1"/>
      <protection hidden="1"/>
    </xf>
    <xf numFmtId="0" fontId="21" fillId="0" borderId="0" xfId="0" applyFont="1" applyAlignment="1">
      <alignment vertical="top" wrapText="1"/>
    </xf>
    <xf numFmtId="0" fontId="21" fillId="0" borderId="0" xfId="0" applyFont="1" applyFill="1" applyProtection="1">
      <protection hidden="1"/>
    </xf>
    <xf numFmtId="0" fontId="22" fillId="0" borderId="0" xfId="0" quotePrefix="1" applyFont="1" applyFill="1" applyBorder="1" applyProtection="1">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9" fillId="0" borderId="2" xfId="0" applyFont="1" applyBorder="1" applyAlignment="1" applyProtection="1">
      <alignment vertical="center"/>
      <protection hidden="1"/>
    </xf>
    <xf numFmtId="0" fontId="11" fillId="0" borderId="0" xfId="0" applyFont="1" applyFill="1" applyBorder="1" applyAlignment="1" applyProtection="1">
      <protection hidden="1"/>
    </xf>
    <xf numFmtId="0" fontId="9" fillId="0" borderId="0" xfId="0" applyFont="1" applyFill="1" applyBorder="1" applyAlignment="1" applyProtection="1">
      <protection hidden="1"/>
    </xf>
    <xf numFmtId="0" fontId="9" fillId="0" borderId="0" xfId="0" applyFont="1" applyFill="1" applyAlignment="1" applyProtection="1">
      <protection hidden="1"/>
    </xf>
    <xf numFmtId="0" fontId="9" fillId="0" borderId="0" xfId="0" applyFont="1" applyFill="1" applyAlignment="1" applyProtection="1">
      <alignment horizontal="left" vertical="top" wrapText="1"/>
      <protection hidden="1"/>
    </xf>
    <xf numFmtId="0" fontId="9" fillId="0" borderId="0" xfId="0" applyFont="1" applyBorder="1" applyAlignment="1" applyProtection="1">
      <alignment horizontal="justify" vertical="justify"/>
      <protection hidden="1"/>
    </xf>
    <xf numFmtId="0" fontId="11" fillId="0" borderId="0" xfId="0" applyFont="1" applyAlignment="1" applyProtection="1">
      <protection hidden="1"/>
    </xf>
    <xf numFmtId="0" fontId="25" fillId="0" borderId="0" xfId="0" applyFont="1" applyProtection="1">
      <protection hidden="1"/>
    </xf>
    <xf numFmtId="0" fontId="25" fillId="0" borderId="0" xfId="0" applyFont="1" applyBorder="1" applyProtection="1">
      <protection hidden="1"/>
    </xf>
    <xf numFmtId="0" fontId="11" fillId="0" borderId="0" xfId="0" applyFont="1" applyAlignment="1" applyProtection="1">
      <alignment vertical="top"/>
      <protection hidden="1"/>
    </xf>
    <xf numFmtId="0" fontId="26" fillId="0" borderId="0" xfId="0" applyFont="1" applyFill="1" applyBorder="1" applyAlignment="1" applyProtection="1">
      <alignment horizontal="left"/>
      <protection hidden="1"/>
    </xf>
    <xf numFmtId="0" fontId="26" fillId="0" borderId="0" xfId="0" applyFont="1" applyAlignment="1" applyProtection="1">
      <alignment horizontal="left"/>
      <protection hidden="1"/>
    </xf>
    <xf numFmtId="164" fontId="9" fillId="0" borderId="0" xfId="0" applyNumberFormat="1" applyFont="1" applyFill="1" applyBorder="1" applyAlignment="1" applyProtection="1">
      <alignment horizontal="center" vertical="center"/>
      <protection hidden="1"/>
    </xf>
    <xf numFmtId="164" fontId="9" fillId="0" borderId="0" xfId="0" applyNumberFormat="1" applyFont="1" applyBorder="1" applyAlignment="1" applyProtection="1">
      <alignment horizontal="center" vertical="center"/>
      <protection hidden="1"/>
    </xf>
    <xf numFmtId="0" fontId="9" fillId="0" borderId="0" xfId="0" applyNumberFormat="1" applyFont="1" applyAlignment="1">
      <alignment horizontal="left"/>
    </xf>
    <xf numFmtId="0" fontId="9" fillId="0" borderId="0" xfId="0" applyFont="1" applyAlignment="1"/>
    <xf numFmtId="0" fontId="7" fillId="2" borderId="39" xfId="2" applyFont="1" applyFill="1" applyBorder="1" applyAlignment="1">
      <alignment horizontal="center"/>
    </xf>
    <xf numFmtId="0" fontId="7" fillId="0" borderId="39" xfId="2" applyFont="1" applyBorder="1" applyAlignment="1">
      <alignment horizontal="right"/>
    </xf>
    <xf numFmtId="0" fontId="7" fillId="0" borderId="39" xfId="2" applyFont="1" applyBorder="1"/>
    <xf numFmtId="0" fontId="5" fillId="0" borderId="39" xfId="2" applyBorder="1"/>
    <xf numFmtId="0" fontId="22" fillId="0" borderId="0" xfId="0" applyFont="1" applyAlignment="1" applyProtection="1">
      <alignment vertical="top"/>
      <protection hidden="1"/>
    </xf>
    <xf numFmtId="0" fontId="0" fillId="0" borderId="0" xfId="0" applyProtection="1">
      <protection hidden="1"/>
    </xf>
    <xf numFmtId="0" fontId="9" fillId="0" borderId="0" xfId="0" applyFont="1" applyAlignment="1" applyProtection="1">
      <alignment horizontal="left" vertical="top"/>
      <protection hidden="1"/>
    </xf>
    <xf numFmtId="0" fontId="22" fillId="0" borderId="0" xfId="0" applyFont="1" applyAlignment="1" applyProtection="1">
      <alignment horizontal="left" vertical="top"/>
      <protection hidden="1"/>
    </xf>
    <xf numFmtId="0" fontId="22" fillId="0" borderId="0" xfId="0" applyFont="1" applyAlignment="1"/>
    <xf numFmtId="164" fontId="0" fillId="0" borderId="0" xfId="0" applyNumberFormat="1" applyAlignment="1"/>
    <xf numFmtId="0" fontId="26" fillId="0" borderId="0" xfId="0" applyFont="1" applyAlignment="1" applyProtection="1">
      <alignment horizontal="center" vertical="center"/>
      <protection hidden="1"/>
    </xf>
    <xf numFmtId="0" fontId="15" fillId="0" borderId="0" xfId="0" applyFont="1" applyProtection="1">
      <protection hidden="1"/>
    </xf>
    <xf numFmtId="0" fontId="37" fillId="0" borderId="0" xfId="0" applyFont="1" applyProtection="1">
      <protection hidden="1"/>
    </xf>
    <xf numFmtId="0" fontId="11" fillId="0" borderId="0" xfId="0" quotePrefix="1" applyFont="1" applyBorder="1" applyAlignment="1" applyProtection="1">
      <alignment horizontal="right" vertical="top"/>
      <protection hidden="1"/>
    </xf>
    <xf numFmtId="0" fontId="22" fillId="0" borderId="0" xfId="0" applyFont="1" applyAlignment="1" applyProtection="1">
      <protection hidden="1"/>
    </xf>
    <xf numFmtId="0" fontId="1" fillId="0" borderId="0" xfId="0" applyFont="1" applyAlignment="1"/>
    <xf numFmtId="0" fontId="10" fillId="0" borderId="0" xfId="0" applyFont="1" applyProtection="1">
      <protection hidden="1"/>
    </xf>
    <xf numFmtId="0" fontId="38" fillId="0" borderId="0" xfId="0" applyFont="1" applyBorder="1" applyAlignment="1" applyProtection="1">
      <alignment horizontal="left" vertical="top"/>
      <protection hidden="1"/>
    </xf>
    <xf numFmtId="0" fontId="26" fillId="0" borderId="0" xfId="0" applyFont="1" applyAlignment="1" applyProtection="1">
      <alignment vertical="center"/>
      <protection hidden="1"/>
    </xf>
    <xf numFmtId="0" fontId="0" fillId="0" borderId="0" xfId="0" applyAlignment="1"/>
    <xf numFmtId="0" fontId="9" fillId="0" borderId="0" xfId="0" applyFont="1" applyAlignment="1" applyProtection="1">
      <protection hidden="1"/>
    </xf>
    <xf numFmtId="0" fontId="26" fillId="0" borderId="0" xfId="0" applyFont="1" applyFill="1" applyAlignment="1" applyProtection="1">
      <protection hidden="1"/>
    </xf>
    <xf numFmtId="0" fontId="26" fillId="0" borderId="0" xfId="0" applyFont="1" applyAlignment="1" applyProtection="1">
      <protection hidden="1"/>
    </xf>
    <xf numFmtId="0" fontId="34" fillId="0" borderId="0" xfId="0" applyFont="1" applyProtection="1">
      <protection hidden="1"/>
    </xf>
    <xf numFmtId="0" fontId="34" fillId="0" borderId="0" xfId="0" applyFont="1" applyFill="1" applyProtection="1">
      <protection hidden="1"/>
    </xf>
    <xf numFmtId="0" fontId="0" fillId="0" borderId="0" xfId="0" applyAlignment="1" applyProtection="1">
      <protection hidden="1"/>
    </xf>
    <xf numFmtId="0" fontId="7" fillId="0" borderId="40" xfId="2" applyFont="1" applyBorder="1" applyAlignment="1">
      <alignment horizontal="right"/>
    </xf>
    <xf numFmtId="0" fontId="7" fillId="0" borderId="40" xfId="2" applyFont="1" applyBorder="1"/>
    <xf numFmtId="0" fontId="5" fillId="0" borderId="40" xfId="2" applyBorder="1"/>
    <xf numFmtId="0" fontId="9" fillId="0" borderId="0" xfId="0" applyFont="1" applyAlignment="1"/>
    <xf numFmtId="0" fontId="39" fillId="0" borderId="20" xfId="0" applyFont="1" applyFill="1" applyBorder="1" applyAlignment="1" applyProtection="1">
      <alignment horizontal="left"/>
      <protection hidden="1"/>
    </xf>
    <xf numFmtId="0" fontId="39" fillId="0" borderId="0" xfId="0" applyFont="1" applyFill="1" applyBorder="1" applyAlignment="1" applyProtection="1">
      <alignment horizontal="left"/>
      <protection hidden="1"/>
    </xf>
    <xf numFmtId="0" fontId="39" fillId="0" borderId="0" xfId="0" applyFont="1" applyAlignment="1" applyProtection="1">
      <alignment horizontal="left"/>
      <protection hidden="1"/>
    </xf>
    <xf numFmtId="0" fontId="0" fillId="0" borderId="0" xfId="0" applyAlignment="1"/>
    <xf numFmtId="0" fontId="26" fillId="0" borderId="0" xfId="0" applyFont="1" applyBorder="1" applyAlignment="1" applyProtection="1">
      <protection hidden="1"/>
    </xf>
    <xf numFmtId="0" fontId="26" fillId="0" borderId="0" xfId="0" applyFont="1" applyAlignment="1" applyProtection="1">
      <alignment horizontal="left" vertical="top" wrapText="1"/>
      <protection hidden="1"/>
    </xf>
    <xf numFmtId="0" fontId="26" fillId="0" borderId="0" xfId="0" applyFont="1" applyAlignment="1" applyProtection="1">
      <alignment horizontal="right" vertical="top" wrapText="1"/>
      <protection hidden="1"/>
    </xf>
    <xf numFmtId="0" fontId="0" fillId="0" borderId="0" xfId="0" applyAlignment="1" applyProtection="1">
      <alignment vertical="top" wrapText="1"/>
      <protection hidden="1"/>
    </xf>
    <xf numFmtId="0" fontId="36" fillId="0" borderId="0" xfId="0" applyFont="1" applyProtection="1">
      <protection hidden="1"/>
    </xf>
    <xf numFmtId="0" fontId="18" fillId="0" borderId="0" xfId="0" applyFont="1" applyProtection="1">
      <protection hidden="1"/>
    </xf>
    <xf numFmtId="0" fontId="38" fillId="0" borderId="0" xfId="0" applyFont="1" applyAlignment="1"/>
    <xf numFmtId="0" fontId="19" fillId="0" borderId="0" xfId="0" applyFont="1" applyProtection="1">
      <protection hidden="1"/>
    </xf>
    <xf numFmtId="0" fontId="0" fillId="0" borderId="0" xfId="0" applyAlignment="1"/>
    <xf numFmtId="0" fontId="22" fillId="0" borderId="0" xfId="0" applyFont="1" applyBorder="1" applyAlignment="1" applyProtection="1">
      <alignment vertical="center"/>
      <protection hidden="1"/>
    </xf>
    <xf numFmtId="14" fontId="0" fillId="6" borderId="0" xfId="0" applyNumberFormat="1" applyFill="1"/>
    <xf numFmtId="0" fontId="1" fillId="0" borderId="0" xfId="0" applyFont="1" applyProtection="1">
      <protection hidden="1"/>
    </xf>
    <xf numFmtId="1" fontId="0" fillId="0" borderId="0" xfId="0" applyNumberFormat="1" applyProtection="1">
      <protection hidden="1"/>
    </xf>
    <xf numFmtId="14" fontId="0" fillId="0" borderId="0" xfId="0" applyNumberFormat="1" applyProtection="1">
      <protection hidden="1"/>
    </xf>
    <xf numFmtId="164" fontId="0" fillId="0" borderId="0" xfId="0" applyNumberFormat="1" applyProtection="1">
      <protection hidden="1"/>
    </xf>
    <xf numFmtId="0" fontId="0" fillId="0" borderId="0" xfId="0" applyAlignment="1"/>
    <xf numFmtId="0" fontId="42" fillId="0" borderId="0" xfId="0" applyFont="1" applyAlignment="1" applyProtection="1">
      <alignment horizontal="left" vertical="top"/>
      <protection hidden="1"/>
    </xf>
    <xf numFmtId="0" fontId="0" fillId="0" borderId="0" xfId="0" applyAlignment="1"/>
    <xf numFmtId="0" fontId="34" fillId="0" borderId="0" xfId="0" applyFont="1" applyFill="1" applyAlignment="1" applyProtection="1">
      <protection hidden="1"/>
    </xf>
    <xf numFmtId="0" fontId="9" fillId="0" borderId="3"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3" borderId="9" xfId="0" applyFont="1" applyFill="1" applyBorder="1" applyAlignment="1" applyProtection="1">
      <alignment vertical="center"/>
      <protection locked="0" hidden="1"/>
    </xf>
    <xf numFmtId="0" fontId="9" fillId="3" borderId="10" xfId="0" applyFont="1" applyFill="1" applyBorder="1" applyAlignment="1" applyProtection="1">
      <alignment vertical="center"/>
      <protection locked="0" hidden="1"/>
    </xf>
    <xf numFmtId="1" fontId="9" fillId="3" borderId="3" xfId="0" applyNumberFormat="1" applyFont="1" applyFill="1" applyBorder="1" applyAlignment="1" applyProtection="1">
      <alignment horizontal="center" vertical="center"/>
      <protection locked="0" hidden="1"/>
    </xf>
    <xf numFmtId="1" fontId="9" fillId="0" borderId="4" xfId="0" applyNumberFormat="1" applyFont="1" applyBorder="1" applyAlignment="1" applyProtection="1">
      <alignment horizontal="center" vertical="center"/>
      <protection locked="0" hidden="1"/>
    </xf>
    <xf numFmtId="1" fontId="9" fillId="0" borderId="5" xfId="0" applyNumberFormat="1" applyFont="1" applyBorder="1" applyAlignment="1" applyProtection="1">
      <alignment horizontal="center" vertical="center"/>
      <protection locked="0" hidden="1"/>
    </xf>
    <xf numFmtId="1" fontId="9" fillId="0" borderId="3" xfId="0" applyNumberFormat="1" applyFont="1" applyBorder="1" applyAlignment="1" applyProtection="1">
      <alignment horizontal="center" vertical="center"/>
      <protection hidden="1"/>
    </xf>
    <xf numFmtId="1" fontId="9" fillId="0" borderId="4" xfId="0" applyNumberFormat="1" applyFont="1" applyBorder="1" applyAlignment="1" applyProtection="1">
      <alignment horizontal="center" vertical="center"/>
      <protection hidden="1"/>
    </xf>
    <xf numFmtId="1" fontId="9" fillId="0" borderId="5" xfId="0" applyNumberFormat="1" applyFont="1" applyBorder="1" applyAlignment="1" applyProtection="1">
      <alignment horizontal="center" vertical="center"/>
      <protection hidden="1"/>
    </xf>
    <xf numFmtId="0" fontId="9" fillId="0" borderId="6" xfId="0" applyFont="1" applyBorder="1" applyAlignment="1" applyProtection="1">
      <alignment vertical="center"/>
      <protection hidden="1"/>
    </xf>
    <xf numFmtId="0" fontId="9" fillId="0" borderId="7" xfId="0" applyFont="1" applyBorder="1" applyAlignment="1" applyProtection="1">
      <alignment vertical="center"/>
      <protection hidden="1"/>
    </xf>
    <xf numFmtId="0" fontId="9" fillId="0" borderId="3" xfId="0" applyFont="1" applyBorder="1" applyAlignment="1" applyProtection="1">
      <alignment vertical="center"/>
      <protection hidden="1"/>
    </xf>
    <xf numFmtId="0" fontId="9" fillId="0" borderId="4" xfId="0" applyFont="1" applyBorder="1" applyAlignment="1" applyProtection="1">
      <alignment vertical="center"/>
      <protection hidden="1"/>
    </xf>
    <xf numFmtId="0" fontId="9" fillId="0" borderId="16"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41" xfId="0" applyFont="1" applyBorder="1" applyAlignment="1" applyProtection="1">
      <alignment horizontal="center"/>
      <protection hidden="1"/>
    </xf>
    <xf numFmtId="0" fontId="0" fillId="0" borderId="42" xfId="0" applyBorder="1" applyAlignment="1">
      <alignment horizontal="center"/>
    </xf>
    <xf numFmtId="0" fontId="0" fillId="0" borderId="43" xfId="0" applyBorder="1" applyAlignment="1">
      <alignment horizontal="center"/>
    </xf>
    <xf numFmtId="0" fontId="11" fillId="0" borderId="19" xfId="0" applyFont="1" applyBorder="1" applyAlignment="1" applyProtection="1">
      <alignment vertical="center"/>
      <protection hidden="1"/>
    </xf>
    <xf numFmtId="0" fontId="11" fillId="0" borderId="12" xfId="0" applyFont="1" applyBorder="1" applyAlignment="1" applyProtection="1">
      <alignment vertical="center"/>
      <protection hidden="1"/>
    </xf>
    <xf numFmtId="164" fontId="9" fillId="3" borderId="13" xfId="0" applyNumberFormat="1" applyFont="1" applyFill="1" applyBorder="1" applyAlignment="1" applyProtection="1">
      <alignment horizontal="center" vertical="center"/>
      <protection locked="0" hidden="1"/>
    </xf>
    <xf numFmtId="164" fontId="9" fillId="0" borderId="14" xfId="0" applyNumberFormat="1" applyFont="1" applyBorder="1" applyAlignment="1" applyProtection="1">
      <alignment horizontal="center" vertical="center"/>
      <protection locked="0" hidden="1"/>
    </xf>
    <xf numFmtId="164" fontId="9" fillId="0" borderId="15" xfId="0" applyNumberFormat="1" applyFont="1" applyBorder="1" applyAlignment="1" applyProtection="1">
      <alignment horizontal="center" vertical="center"/>
      <protection locked="0" hidden="1"/>
    </xf>
    <xf numFmtId="0" fontId="11" fillId="0" borderId="3" xfId="0" applyFont="1" applyBorder="1" applyAlignment="1" applyProtection="1">
      <alignment horizontal="center" vertical="center"/>
      <protection locked="0" hidden="1"/>
    </xf>
    <xf numFmtId="0" fontId="11" fillId="0" borderId="4"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39" fillId="0" borderId="20" xfId="0" applyFont="1" applyFill="1" applyBorder="1" applyAlignment="1" applyProtection="1">
      <alignment horizontal="left"/>
      <protection hidden="1"/>
    </xf>
    <xf numFmtId="0" fontId="39" fillId="0" borderId="0" xfId="0" applyFont="1" applyFill="1" applyBorder="1" applyAlignment="1" applyProtection="1">
      <alignment horizontal="left"/>
      <protection hidden="1"/>
    </xf>
    <xf numFmtId="0" fontId="39" fillId="0" borderId="0" xfId="0" applyFont="1" applyAlignment="1" applyProtection="1">
      <alignment horizontal="left"/>
      <protection hidden="1"/>
    </xf>
    <xf numFmtId="0" fontId="26" fillId="5" borderId="36" xfId="0" applyFont="1" applyFill="1" applyBorder="1" applyAlignment="1" applyProtection="1">
      <alignment vertical="center" wrapText="1"/>
      <protection hidden="1"/>
    </xf>
    <xf numFmtId="0" fontId="0" fillId="0" borderId="37" xfId="0" applyBorder="1" applyAlignment="1">
      <alignment vertical="center" wrapText="1"/>
    </xf>
    <xf numFmtId="0" fontId="0" fillId="0" borderId="38" xfId="0" applyBorder="1" applyAlignment="1">
      <alignment vertical="center" wrapText="1"/>
    </xf>
    <xf numFmtId="164" fontId="9" fillId="0" borderId="0" xfId="0" applyNumberFormat="1" applyFont="1" applyAlignment="1" applyProtection="1">
      <protection hidden="1"/>
    </xf>
    <xf numFmtId="0" fontId="9" fillId="0" borderId="0" xfId="0" applyFont="1" applyAlignment="1" applyProtection="1">
      <protection hidden="1"/>
    </xf>
    <xf numFmtId="0" fontId="26" fillId="5" borderId="34" xfId="0" applyFont="1" applyFill="1" applyBorder="1" applyAlignment="1" applyProtection="1">
      <alignment vertical="center" wrapText="1"/>
      <protection hidden="1"/>
    </xf>
    <xf numFmtId="0" fontId="0" fillId="5" borderId="0" xfId="0" applyFill="1" applyBorder="1" applyAlignment="1" applyProtection="1">
      <alignment vertical="center" wrapText="1"/>
      <protection hidden="1"/>
    </xf>
    <xf numFmtId="0" fontId="0" fillId="5" borderId="35" xfId="0" applyFill="1" applyBorder="1" applyAlignment="1" applyProtection="1">
      <alignment vertical="center" wrapText="1"/>
      <protection hidden="1"/>
    </xf>
    <xf numFmtId="0" fontId="26" fillId="5" borderId="47" xfId="0" applyFont="1" applyFill="1" applyBorder="1" applyAlignment="1" applyProtection="1">
      <alignment vertical="center" wrapText="1"/>
      <protection hidden="1"/>
    </xf>
    <xf numFmtId="0" fontId="0" fillId="5" borderId="48" xfId="0" applyFill="1" applyBorder="1" applyAlignment="1" applyProtection="1">
      <alignment wrapText="1"/>
      <protection hidden="1"/>
    </xf>
    <xf numFmtId="0" fontId="0" fillId="5" borderId="49" xfId="0" applyFill="1" applyBorder="1" applyAlignment="1" applyProtection="1">
      <alignment wrapText="1"/>
      <protection hidden="1"/>
    </xf>
    <xf numFmtId="0" fontId="0" fillId="0" borderId="0" xfId="0" applyAlignment="1">
      <alignment vertical="center" wrapText="1"/>
    </xf>
    <xf numFmtId="0" fontId="0" fillId="0" borderId="35" xfId="0" applyBorder="1" applyAlignment="1">
      <alignment vertical="center" wrapText="1"/>
    </xf>
    <xf numFmtId="0" fontId="0" fillId="0" borderId="0" xfId="0" applyAlignment="1"/>
    <xf numFmtId="0" fontId="29" fillId="0" borderId="0" xfId="0" applyFont="1" applyBorder="1" applyAlignment="1" applyProtection="1">
      <alignment horizontal="right" vertical="center"/>
      <protection hidden="1"/>
    </xf>
    <xf numFmtId="0" fontId="0" fillId="0" borderId="0" xfId="0" applyAlignment="1">
      <alignment vertical="center"/>
    </xf>
    <xf numFmtId="0" fontId="9" fillId="0" borderId="0" xfId="0" applyFont="1" applyFill="1" applyBorder="1" applyAlignment="1" applyProtection="1">
      <alignment horizontal="left"/>
      <protection hidden="1"/>
    </xf>
    <xf numFmtId="0" fontId="9" fillId="0" borderId="0" xfId="0" applyFont="1" applyAlignment="1"/>
    <xf numFmtId="0" fontId="9" fillId="3" borderId="13" xfId="0" applyFont="1" applyFill="1" applyBorder="1" applyAlignment="1" applyProtection="1">
      <alignment horizontal="center"/>
      <protection locked="0" hidden="1"/>
    </xf>
    <xf numFmtId="0" fontId="9" fillId="3" borderId="15" xfId="0" applyFont="1" applyFill="1" applyBorder="1" applyAlignment="1" applyProtection="1">
      <alignment horizontal="center"/>
      <protection locked="0" hidden="1"/>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hidden="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pplyProtection="1">
      <alignment horizontal="center"/>
      <protection hidden="1"/>
    </xf>
    <xf numFmtId="0" fontId="9" fillId="0" borderId="4"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11" fillId="0" borderId="11"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0" fillId="0" borderId="0" xfId="0" applyAlignment="1" applyProtection="1">
      <protection hidden="1"/>
    </xf>
    <xf numFmtId="0" fontId="21" fillId="0" borderId="0" xfId="0" applyFont="1" applyBorder="1" applyAlignment="1" applyProtection="1">
      <alignment vertical="top" wrapText="1"/>
      <protection hidden="1"/>
    </xf>
    <xf numFmtId="0" fontId="21" fillId="0" borderId="0" xfId="0" applyFont="1" applyAlignment="1">
      <alignment vertical="top" wrapText="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protection hidden="1"/>
    </xf>
    <xf numFmtId="0" fontId="9" fillId="0" borderId="0" xfId="0" applyFont="1" applyFill="1" applyBorder="1" applyAlignment="1"/>
    <xf numFmtId="0" fontId="9" fillId="3" borderId="31" xfId="0" applyFont="1" applyFill="1" applyBorder="1" applyAlignment="1" applyProtection="1">
      <alignment horizontal="center"/>
      <protection locked="0" hidden="1"/>
    </xf>
    <xf numFmtId="0" fontId="9" fillId="0" borderId="32" xfId="0" applyFont="1" applyBorder="1" applyAlignment="1" applyProtection="1">
      <alignment horizontal="center"/>
      <protection locked="0" hidden="1"/>
    </xf>
    <xf numFmtId="0" fontId="9" fillId="0" borderId="33" xfId="0" applyFont="1" applyBorder="1" applyAlignment="1" applyProtection="1">
      <alignment horizontal="center"/>
      <protection locked="0" hidden="1"/>
    </xf>
    <xf numFmtId="0" fontId="9" fillId="0" borderId="0" xfId="0" applyFont="1" applyFill="1" applyBorder="1" applyAlignment="1" applyProtection="1">
      <alignment horizontal="left" vertical="top" wrapText="1"/>
      <protection hidden="1"/>
    </xf>
    <xf numFmtId="0" fontId="22" fillId="0" borderId="0" xfId="0" applyFont="1" applyBorder="1" applyAlignment="1" applyProtection="1">
      <alignment vertical="top" wrapText="1"/>
      <protection hidden="1"/>
    </xf>
    <xf numFmtId="0" fontId="39" fillId="0" borderId="20" xfId="0" applyFont="1" applyFill="1" applyBorder="1" applyAlignment="1" applyProtection="1">
      <alignment horizontal="left" vertical="center"/>
      <protection hidden="1"/>
    </xf>
    <xf numFmtId="0" fontId="39" fillId="0" borderId="0" xfId="0" applyFont="1" applyFill="1" applyBorder="1" applyAlignment="1" applyProtection="1">
      <alignment horizontal="left" vertical="center"/>
      <protection hidden="1"/>
    </xf>
    <xf numFmtId="0" fontId="39" fillId="0" borderId="0" xfId="0" applyFont="1" applyAlignment="1" applyProtection="1">
      <alignment horizontal="left" vertical="center"/>
      <protection hidden="1"/>
    </xf>
    <xf numFmtId="0" fontId="9" fillId="0" borderId="23" xfId="0" quotePrefix="1" applyFont="1" applyBorder="1" applyAlignment="1" applyProtection="1">
      <alignment horizontal="center" vertical="center"/>
      <protection hidden="1"/>
    </xf>
    <xf numFmtId="0" fontId="9" fillId="0" borderId="24" xfId="0" applyFont="1" applyBorder="1" applyAlignment="1" applyProtection="1">
      <protection hidden="1"/>
    </xf>
    <xf numFmtId="0" fontId="9" fillId="0" borderId="22"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14" fontId="9" fillId="3" borderId="25" xfId="0" applyNumberFormat="1" applyFont="1" applyFill="1" applyBorder="1" applyAlignment="1" applyProtection="1">
      <alignment horizontal="center" vertical="center"/>
      <protection locked="0" hidden="1"/>
    </xf>
    <xf numFmtId="14" fontId="9" fillId="3" borderId="26" xfId="0" applyNumberFormat="1" applyFont="1" applyFill="1" applyBorder="1" applyAlignment="1" applyProtection="1">
      <alignment horizontal="center" vertical="center"/>
      <protection locked="0" hidden="1"/>
    </xf>
    <xf numFmtId="14" fontId="9" fillId="3" borderId="27" xfId="0" applyNumberFormat="1" applyFont="1" applyFill="1" applyBorder="1" applyAlignment="1" applyProtection="1">
      <alignment horizontal="center" vertical="center"/>
      <protection locked="0" hidden="1"/>
    </xf>
    <xf numFmtId="0" fontId="9" fillId="0" borderId="3" xfId="0" applyFont="1" applyBorder="1" applyAlignment="1" applyProtection="1">
      <alignment horizontal="center" vertical="center" wrapText="1"/>
      <protection hidden="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8" xfId="0" applyFont="1" applyBorder="1" applyAlignment="1" applyProtection="1">
      <alignment horizontal="center" vertical="center"/>
      <protection hidden="1"/>
    </xf>
    <xf numFmtId="0" fontId="9" fillId="0" borderId="6" xfId="0" applyFont="1" applyBorder="1" applyAlignment="1" applyProtection="1">
      <alignment horizontal="center" wrapText="1"/>
      <protection hidden="1"/>
    </xf>
    <xf numFmtId="0" fontId="9" fillId="0" borderId="7" xfId="0" applyFont="1" applyBorder="1" applyAlignment="1" applyProtection="1">
      <alignment horizontal="center" wrapText="1"/>
      <protection hidden="1"/>
    </xf>
    <xf numFmtId="0" fontId="9" fillId="0" borderId="10" xfId="0" applyFont="1" applyBorder="1" applyAlignment="1" applyProtection="1">
      <alignment horizontal="center" wrapText="1"/>
      <protection hidden="1"/>
    </xf>
    <xf numFmtId="0" fontId="33" fillId="0" borderId="0" xfId="1" applyFont="1" applyAlignment="1" applyProtection="1">
      <alignment horizontal="left" vertical="top" wrapText="1"/>
      <protection hidden="1"/>
    </xf>
    <xf numFmtId="0" fontId="22" fillId="0" borderId="0" xfId="0" applyFont="1" applyAlignment="1" applyProtection="1">
      <alignment horizontal="left" vertical="top"/>
      <protection hidden="1"/>
    </xf>
    <xf numFmtId="0" fontId="26" fillId="0" borderId="0" xfId="0" applyFont="1" applyBorder="1" applyAlignment="1" applyProtection="1">
      <protection hidden="1"/>
    </xf>
    <xf numFmtId="0" fontId="26" fillId="0" borderId="0" xfId="0" applyFont="1" applyBorder="1" applyAlignment="1" applyProtection="1">
      <alignment vertical="top"/>
      <protection hidden="1"/>
    </xf>
    <xf numFmtId="0" fontId="26" fillId="0" borderId="0" xfId="0" applyFont="1" applyAlignment="1" applyProtection="1">
      <alignment vertical="top"/>
      <protection hidden="1"/>
    </xf>
    <xf numFmtId="0" fontId="40" fillId="0" borderId="0" xfId="0" applyFont="1" applyFill="1" applyAlignment="1" applyProtection="1">
      <alignment vertical="center"/>
      <protection hidden="1"/>
    </xf>
    <xf numFmtId="0" fontId="41" fillId="0" borderId="0" xfId="0" applyFont="1" applyAlignment="1"/>
    <xf numFmtId="0" fontId="1" fillId="0" borderId="0" xfId="0" applyFont="1" applyAlignment="1">
      <alignment vertical="center"/>
    </xf>
    <xf numFmtId="0" fontId="9" fillId="0" borderId="0" xfId="0" applyFont="1" applyFill="1" applyAlignment="1" applyProtection="1">
      <alignment horizontal="left" vertical="top" wrapText="1"/>
      <protection hidden="1"/>
    </xf>
    <xf numFmtId="0" fontId="9" fillId="0" borderId="0" xfId="0" applyFont="1" applyAlignment="1" applyProtection="1">
      <alignment horizontal="left"/>
      <protection hidden="1"/>
    </xf>
    <xf numFmtId="1" fontId="11" fillId="0" borderId="3" xfId="0" applyNumberFormat="1" applyFont="1" applyBorder="1" applyAlignment="1" applyProtection="1">
      <alignment horizontal="center" vertical="center"/>
      <protection hidden="1"/>
    </xf>
    <xf numFmtId="1" fontId="11" fillId="0" borderId="4" xfId="0" applyNumberFormat="1" applyFont="1" applyBorder="1" applyAlignment="1" applyProtection="1">
      <alignment horizontal="center" vertical="center"/>
      <protection hidden="1"/>
    </xf>
    <xf numFmtId="1" fontId="11" fillId="0" borderId="5" xfId="0" applyNumberFormat="1" applyFont="1" applyBorder="1" applyAlignment="1" applyProtection="1">
      <alignment horizontal="center" vertical="center"/>
      <protection hidden="1"/>
    </xf>
    <xf numFmtId="0" fontId="26" fillId="0" borderId="0" xfId="0" applyFont="1" applyBorder="1" applyAlignment="1" applyProtection="1">
      <alignment vertical="center"/>
      <protection hidden="1"/>
    </xf>
    <xf numFmtId="0" fontId="26" fillId="0" borderId="0" xfId="0" applyFont="1" applyAlignment="1" applyProtection="1">
      <alignment vertical="center"/>
      <protection hidden="1"/>
    </xf>
    <xf numFmtId="0" fontId="9" fillId="0" borderId="24" xfId="0" applyFont="1" applyBorder="1" applyProtection="1">
      <protection hidden="1"/>
    </xf>
    <xf numFmtId="0" fontId="9" fillId="0" borderId="44"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11" fillId="0" borderId="3" xfId="0" applyFont="1" applyBorder="1" applyAlignment="1" applyProtection="1">
      <alignment horizontal="center"/>
      <protection locked="0" hidden="1"/>
    </xf>
    <xf numFmtId="0" fontId="11" fillId="0" borderId="4"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31" fillId="4" borderId="0" xfId="0" applyFont="1" applyFill="1" applyAlignment="1" applyProtection="1">
      <protection hidden="1"/>
    </xf>
    <xf numFmtId="0" fontId="32" fillId="4" borderId="0" xfId="0" applyFont="1" applyFill="1" applyAlignment="1" applyProtection="1">
      <protection hidden="1"/>
    </xf>
    <xf numFmtId="0" fontId="27" fillId="0" borderId="0" xfId="0" applyFont="1" applyBorder="1" applyAlignment="1" applyProtection="1">
      <alignment horizontal="left" vertical="top" wrapText="1"/>
      <protection hidden="1"/>
    </xf>
    <xf numFmtId="0" fontId="28" fillId="0" borderId="0" xfId="0" applyFont="1" applyAlignment="1" applyProtection="1">
      <alignment vertical="top" wrapText="1"/>
      <protection hidden="1"/>
    </xf>
    <xf numFmtId="0" fontId="28" fillId="0" borderId="0" xfId="0" applyFont="1" applyAlignment="1">
      <alignment wrapText="1"/>
    </xf>
    <xf numFmtId="0" fontId="0" fillId="0" borderId="0" xfId="0" applyAlignment="1">
      <alignment wrapText="1"/>
    </xf>
    <xf numFmtId="0" fontId="27" fillId="0" borderId="0" xfId="0" applyFont="1" applyBorder="1" applyAlignment="1" applyProtection="1">
      <alignment vertical="top"/>
      <protection hidden="1"/>
    </xf>
    <xf numFmtId="0" fontId="28" fillId="0" borderId="0" xfId="0" applyFont="1" applyBorder="1" applyAlignment="1" applyProtection="1">
      <alignment vertical="top"/>
      <protection hidden="1"/>
    </xf>
    <xf numFmtId="0" fontId="30" fillId="0" borderId="0" xfId="0" quotePrefix="1" applyFont="1" applyBorder="1" applyAlignment="1" applyProtection="1">
      <alignment vertical="center"/>
      <protection hidden="1"/>
    </xf>
    <xf numFmtId="0" fontId="22" fillId="0" borderId="0" xfId="0" applyFont="1" applyAlignment="1" applyProtection="1">
      <alignment vertical="top" wrapText="1"/>
      <protection hidden="1"/>
    </xf>
    <xf numFmtId="0" fontId="22" fillId="0" borderId="0" xfId="0" applyFont="1" applyAlignment="1" applyProtection="1">
      <alignment wrapText="1"/>
      <protection hidden="1"/>
    </xf>
    <xf numFmtId="0" fontId="1" fillId="0" borderId="0" xfId="0" applyFont="1" applyAlignment="1">
      <alignment wrapText="1"/>
    </xf>
    <xf numFmtId="0" fontId="3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26" fillId="0" borderId="0" xfId="0" applyFont="1" applyBorder="1" applyAlignment="1" applyProtection="1">
      <alignment vertical="top" wrapText="1"/>
      <protection hidden="1"/>
    </xf>
    <xf numFmtId="0" fontId="9" fillId="0" borderId="0" xfId="0" applyFont="1" applyAlignment="1" applyProtection="1">
      <alignment vertical="top" wrapText="1"/>
      <protection hidden="1"/>
    </xf>
    <xf numFmtId="0" fontId="0" fillId="0" borderId="0" xfId="0" applyAlignment="1" applyProtection="1">
      <alignment wrapText="1"/>
      <protection hidden="1"/>
    </xf>
    <xf numFmtId="0" fontId="22" fillId="0" borderId="0" xfId="0" applyFont="1" applyAlignment="1" applyProtection="1">
      <alignment horizontal="justify" vertical="top" wrapText="1"/>
      <protection hidden="1"/>
    </xf>
    <xf numFmtId="0" fontId="0" fillId="0" borderId="0" xfId="0" applyAlignment="1">
      <alignment horizontal="justify" vertical="top" wrapText="1"/>
    </xf>
    <xf numFmtId="0" fontId="0" fillId="0" borderId="0" xfId="0" applyAlignment="1">
      <alignment horizontal="left" wrapText="1"/>
    </xf>
    <xf numFmtId="0" fontId="26" fillId="0" borderId="0" xfId="0" applyFont="1" applyAlignment="1" applyProtection="1">
      <alignment vertical="top" wrapText="1"/>
      <protection hidden="1"/>
    </xf>
    <xf numFmtId="0" fontId="0" fillId="6" borderId="0" xfId="0" applyFill="1"/>
  </cellXfs>
  <cellStyles count="3">
    <cellStyle name="Hyperlink" xfId="1" builtinId="8"/>
    <cellStyle name="Standaard" xfId="0" builtinId="0"/>
    <cellStyle name="Standaard_Sheet1" xfId="2" xr:uid="{EF5BB97E-3858-48A7-A23E-FF8C998F8A3A}"/>
  </cellStyles>
  <dxfs count="2">
    <dxf>
      <font>
        <color rgb="FF9C0006"/>
      </font>
      <fill>
        <patternFill>
          <bgColor rgb="FFFFC7CE"/>
        </patternFill>
      </fill>
    </dxf>
    <dxf>
      <font>
        <b/>
        <i val="0"/>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onderwijs.vlaanderen.be/edulex/document.aspx?docid=13800"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14"/>
  <sheetViews>
    <sheetView showGridLines="0" showZeros="0" tabSelected="1" showWhiteSpace="0" zoomScale="110" zoomScaleNormal="110" zoomScaleSheetLayoutView="120" workbookViewId="0">
      <selection activeCell="Q29" sqref="Q29:T29"/>
    </sheetView>
  </sheetViews>
  <sheetFormatPr defaultColWidth="2.109375" defaultRowHeight="14.4" x14ac:dyDescent="0.3"/>
  <cols>
    <col min="1" max="1" width="2.6640625" style="5" customWidth="1"/>
    <col min="2" max="2" width="2.109375" style="5" customWidth="1"/>
    <col min="3" max="3" width="2.44140625" style="5" customWidth="1"/>
    <col min="4" max="5" width="2.109375" style="5" customWidth="1"/>
    <col min="6" max="7" width="2.33203125" style="5" customWidth="1"/>
    <col min="8" max="8" width="2.21875" style="5" customWidth="1"/>
    <col min="9" max="9" width="2.77734375" style="5" customWidth="1"/>
    <col min="10" max="10" width="3.77734375" style="5" customWidth="1"/>
    <col min="11" max="12" width="2.33203125" style="5" customWidth="1"/>
    <col min="13" max="13" width="2.109375" style="5" customWidth="1"/>
    <col min="14" max="14" width="2.88671875" style="5" customWidth="1"/>
    <col min="15" max="15" width="3.6640625" style="5" customWidth="1"/>
    <col min="16" max="17" width="2.33203125" style="5" customWidth="1"/>
    <col min="18" max="18" width="2.109375" style="5" customWidth="1"/>
    <col min="19" max="19" width="2.77734375" style="5" customWidth="1"/>
    <col min="20" max="20" width="3.6640625" style="5" customWidth="1"/>
    <col min="21" max="22" width="2.33203125" style="5" customWidth="1"/>
    <col min="23" max="23" width="2.109375" style="5" customWidth="1"/>
    <col min="24" max="24" width="2.88671875" style="5" customWidth="1"/>
    <col min="25" max="25" width="3.77734375" style="5" customWidth="1"/>
    <col min="26" max="27" width="2.33203125" style="5" customWidth="1"/>
    <col min="28" max="28" width="2.109375" style="5" customWidth="1"/>
    <col min="29" max="29" width="2.77734375" style="5" customWidth="1"/>
    <col min="30" max="30" width="3.77734375" style="5" customWidth="1"/>
    <col min="31" max="32" width="2.33203125" style="5" customWidth="1"/>
    <col min="33" max="33" width="2.109375" style="5" customWidth="1"/>
    <col min="34" max="34" width="2.88671875" style="5" customWidth="1"/>
    <col min="35" max="35" width="3.6640625" style="5" customWidth="1"/>
    <col min="36" max="37" width="2.33203125" style="5" customWidth="1"/>
    <col min="38" max="38" width="2.109375" style="5" customWidth="1"/>
    <col min="39" max="39" width="3.109375" style="5" customWidth="1"/>
    <col min="40" max="40" width="3.6640625" style="5" customWidth="1"/>
    <col min="41" max="42" width="2.33203125" style="5" customWidth="1"/>
    <col min="43" max="43" width="2.6640625" style="5" customWidth="1"/>
    <col min="44" max="44" width="2.33203125" style="5" customWidth="1"/>
    <col min="45" max="45" width="3.6640625" style="5" customWidth="1"/>
    <col min="46" max="49" width="2.33203125" style="5" customWidth="1"/>
    <col min="50" max="50" width="3.6640625" style="5" customWidth="1"/>
    <col min="51" max="54" width="2.33203125" style="5" customWidth="1"/>
    <col min="55" max="55" width="3.6640625" style="5" customWidth="1"/>
    <col min="56" max="59" width="2.33203125" style="5" customWidth="1"/>
    <col min="60" max="60" width="3.6640625" style="5" customWidth="1"/>
    <col min="61" max="64" width="2.33203125" style="5" customWidth="1"/>
    <col min="65" max="65" width="3.6640625" style="5" customWidth="1"/>
    <col min="66" max="67" width="2.109375" style="5"/>
    <col min="68" max="68" width="2.77734375" style="5" customWidth="1"/>
    <col min="69" max="69" width="2.109375" style="5"/>
    <col min="70" max="70" width="3.6640625" style="5" customWidth="1"/>
    <col min="71" max="72" width="2.109375" style="5"/>
    <col min="73" max="73" width="2.77734375" style="5" customWidth="1"/>
    <col min="74" max="74" width="2.109375" style="5"/>
    <col min="75" max="75" width="3.6640625" style="5" customWidth="1"/>
    <col min="76" max="16384" width="2.109375" style="5"/>
  </cols>
  <sheetData>
    <row r="1" spans="1:75" ht="10.5" customHeigh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BQ1" s="198" t="s">
        <v>1645</v>
      </c>
      <c r="BR1" s="249"/>
      <c r="BS1" s="249"/>
      <c r="BT1" s="249"/>
      <c r="BU1" s="249"/>
      <c r="BV1" s="249"/>
      <c r="BW1" s="249"/>
    </row>
    <row r="2" spans="1:75" ht="10.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BQ2" s="198" t="s">
        <v>233</v>
      </c>
      <c r="BR2" s="199"/>
      <c r="BS2" s="199"/>
      <c r="BT2" s="199"/>
      <c r="BU2" s="199"/>
      <c r="BV2" s="199"/>
      <c r="BW2" s="199"/>
    </row>
    <row r="3" spans="1:75" ht="46.8" customHeight="1" x14ac:dyDescent="0.45">
      <c r="A3" s="4"/>
      <c r="B3" s="266" t="s">
        <v>1532</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8"/>
      <c r="AN3" s="268"/>
      <c r="AO3" s="268"/>
      <c r="AP3" s="268"/>
      <c r="AQ3" s="268"/>
      <c r="AR3" s="268"/>
      <c r="AS3" s="268"/>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row>
    <row r="4" spans="1:75" ht="24.15" customHeight="1" x14ac:dyDescent="0.3">
      <c r="A4" s="4"/>
      <c r="B4" s="270" t="str">
        <f>Blad2!A23</f>
        <v>schooljaar 2023-2024</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row>
    <row r="5" spans="1:75" ht="18.75" customHeight="1" x14ac:dyDescent="0.3">
      <c r="A5" s="4"/>
      <c r="B5" s="272" t="s">
        <v>1536</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row>
    <row r="6" spans="1:75" x14ac:dyDescent="0.3">
      <c r="A6" s="4"/>
      <c r="B6" s="39" t="s">
        <v>47</v>
      </c>
      <c r="C6" s="39"/>
      <c r="AD6" s="276" t="str">
        <f ca="1">IF(TODAY()&gt;VLOOKUP(B4,Blad2!$A$1:$F$17,2,FALSE),"Gebruik dit formulier enkel voor het "&amp;B4&amp;"!","")</f>
        <v/>
      </c>
      <c r="AE6" s="277"/>
      <c r="AF6" s="277"/>
      <c r="AG6" s="277"/>
      <c r="AH6" s="277"/>
      <c r="AI6" s="277"/>
      <c r="AJ6" s="277"/>
      <c r="AK6" s="277"/>
      <c r="AL6" s="277"/>
      <c r="AM6" s="277"/>
      <c r="AN6" s="277"/>
      <c r="AO6" s="277"/>
      <c r="AP6" s="277"/>
      <c r="AQ6" s="277"/>
      <c r="AR6" s="277"/>
      <c r="AS6" s="277"/>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row>
    <row r="7" spans="1:75" x14ac:dyDescent="0.3">
      <c r="A7" s="4"/>
      <c r="B7" s="40" t="s">
        <v>232</v>
      </c>
      <c r="C7" s="39"/>
      <c r="AC7" s="4"/>
      <c r="AD7" s="277"/>
      <c r="AE7" s="277"/>
      <c r="AF7" s="277"/>
      <c r="AG7" s="277"/>
      <c r="AH7" s="277"/>
      <c r="AI7" s="277"/>
      <c r="AJ7" s="277"/>
      <c r="AK7" s="277"/>
      <c r="AL7" s="277"/>
      <c r="AM7" s="277"/>
      <c r="AN7" s="277"/>
      <c r="AO7" s="277"/>
      <c r="AP7" s="277"/>
      <c r="AQ7" s="277"/>
      <c r="AR7" s="277"/>
      <c r="AS7" s="277"/>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row>
    <row r="8" spans="1:75" x14ac:dyDescent="0.3">
      <c r="A8" s="4"/>
      <c r="B8" s="40" t="s">
        <v>243</v>
      </c>
      <c r="C8" s="39"/>
      <c r="AC8" s="4"/>
      <c r="AD8" s="277"/>
      <c r="AE8" s="277"/>
      <c r="AF8" s="277"/>
      <c r="AG8" s="277"/>
      <c r="AH8" s="277"/>
      <c r="AI8" s="277"/>
      <c r="AJ8" s="277"/>
      <c r="AK8" s="277"/>
      <c r="AL8" s="277"/>
      <c r="AM8" s="277"/>
      <c r="AN8" s="277"/>
      <c r="AO8" s="277"/>
      <c r="AP8" s="277"/>
      <c r="AQ8" s="277"/>
      <c r="AR8" s="277"/>
      <c r="AS8" s="277"/>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row>
    <row r="9" spans="1:75" x14ac:dyDescent="0.3">
      <c r="A9" s="4"/>
      <c r="B9" s="39" t="s">
        <v>1647</v>
      </c>
      <c r="C9" s="39"/>
      <c r="AC9" s="4"/>
      <c r="AD9" s="277"/>
      <c r="AE9" s="277"/>
      <c r="AF9" s="277"/>
      <c r="AG9" s="277"/>
      <c r="AH9" s="277"/>
      <c r="AI9" s="277"/>
      <c r="AJ9" s="277"/>
      <c r="AK9" s="277"/>
      <c r="AL9" s="277"/>
      <c r="AM9" s="277"/>
      <c r="AN9" s="277"/>
      <c r="AO9" s="277"/>
      <c r="AP9" s="277"/>
      <c r="AQ9" s="277"/>
      <c r="AR9" s="277"/>
      <c r="AS9" s="277"/>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row>
    <row r="10" spans="1:75" x14ac:dyDescent="0.3">
      <c r="A10" s="4"/>
      <c r="B10" s="39" t="s">
        <v>1646</v>
      </c>
      <c r="C10" s="39"/>
      <c r="AC10" s="4"/>
      <c r="AD10" s="277"/>
      <c r="AE10" s="277"/>
      <c r="AF10" s="277"/>
      <c r="AG10" s="277"/>
      <c r="AH10" s="277"/>
      <c r="AI10" s="277"/>
      <c r="AJ10" s="277"/>
      <c r="AK10" s="277"/>
      <c r="AL10" s="277"/>
      <c r="AM10" s="277"/>
      <c r="AN10" s="277"/>
      <c r="AO10" s="277"/>
      <c r="AP10" s="277"/>
      <c r="AQ10" s="277"/>
      <c r="AR10" s="277"/>
      <c r="AS10" s="277"/>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row>
    <row r="11" spans="1:75" x14ac:dyDescent="0.3">
      <c r="A11" s="4"/>
      <c r="B11" s="40" t="str">
        <f>IF(ISBLANK(Q29),"","T")</f>
        <v/>
      </c>
      <c r="C11" s="188" t="str">
        <f>IF(ISBLANK(Q29),"",VLOOKUP(Q29,instellingsgegevens!$A$2:$AX$499,10,FALSE)&amp;" ("&amp;VLOOKUP(Q29,instellingsgegevens!$A$2:$AX$499,9,FALSE)&amp;")")</f>
        <v/>
      </c>
      <c r="D11" s="213"/>
      <c r="E11" s="213"/>
      <c r="F11" s="213"/>
      <c r="G11" s="213"/>
      <c r="H11" s="213"/>
      <c r="I11" s="213"/>
      <c r="J11" s="213"/>
      <c r="K11" s="213"/>
      <c r="L11" s="213"/>
      <c r="M11" s="213"/>
      <c r="N11" s="197"/>
      <c r="O11" s="197"/>
      <c r="P11" s="96"/>
      <c r="R11" s="106"/>
      <c r="S11" s="106"/>
      <c r="T11" s="106"/>
      <c r="U11" s="106"/>
      <c r="V11" s="106"/>
      <c r="W11" s="106"/>
      <c r="X11" s="106"/>
      <c r="AC11" s="4"/>
      <c r="AD11" s="277"/>
      <c r="AE11" s="277"/>
      <c r="AF11" s="277"/>
      <c r="AG11" s="277"/>
      <c r="AH11" s="277"/>
      <c r="AI11" s="277"/>
      <c r="AJ11" s="277"/>
      <c r="AK11" s="277"/>
      <c r="AL11" s="277"/>
      <c r="AM11" s="277"/>
      <c r="AN11" s="277"/>
      <c r="AO11" s="277"/>
      <c r="AP11" s="277"/>
      <c r="AQ11" s="277"/>
      <c r="AR11" s="277"/>
      <c r="AS11" s="277"/>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row>
    <row r="12" spans="1:75" ht="14.4" hidden="1" customHeight="1" x14ac:dyDescent="0.3">
      <c r="B12" s="34" t="str">
        <f>IF(Q29="","",VLOOKUP(Q29,instellingsgegevens!$A$2:$AZ$4999,9,FALSE))</f>
        <v/>
      </c>
      <c r="C12" s="105"/>
      <c r="D12" s="105"/>
      <c r="E12" s="105"/>
      <c r="F12" s="105"/>
      <c r="G12" s="105"/>
      <c r="H12" s="105"/>
      <c r="I12" s="105"/>
      <c r="J12" s="105"/>
      <c r="K12" s="105"/>
      <c r="L12" s="105"/>
      <c r="M12" s="105"/>
      <c r="N12" s="105"/>
      <c r="O12" s="105"/>
      <c r="P12" s="105"/>
      <c r="Q12" s="105"/>
      <c r="R12" s="105"/>
      <c r="S12" s="105"/>
      <c r="T12" s="105"/>
      <c r="U12" s="95"/>
      <c r="V12" s="95"/>
      <c r="W12" s="95"/>
      <c r="X12" s="95"/>
      <c r="Y12" s="187">
        <f>MAX(F85,K85,P85,U85,Z85,AE85,AJ85,AO85,AT85,AY85,BD85,BI85,BN85,BS85)</f>
        <v>0</v>
      </c>
      <c r="Z12" s="188"/>
      <c r="AA12" s="188"/>
      <c r="AB12" s="188"/>
      <c r="AD12" s="107"/>
      <c r="AE12" s="107"/>
      <c r="AF12" s="107"/>
      <c r="AG12" s="107"/>
      <c r="AH12" s="107"/>
      <c r="AI12" s="107"/>
      <c r="AJ12" s="107"/>
      <c r="AK12" s="107"/>
      <c r="AL12" s="107"/>
      <c r="AM12" s="107"/>
      <c r="AN12" s="107"/>
      <c r="AO12" s="107"/>
      <c r="AP12" s="107"/>
      <c r="AQ12" s="107"/>
      <c r="AR12" s="107"/>
      <c r="AS12" s="107"/>
      <c r="AT12" s="107"/>
      <c r="AU12" s="107"/>
      <c r="AV12" s="107"/>
    </row>
    <row r="13" spans="1:75" ht="3" customHeight="1" x14ac:dyDescent="0.3">
      <c r="A13" s="4"/>
      <c r="B13" s="39"/>
      <c r="AD13" s="107"/>
      <c r="AE13" s="107"/>
      <c r="AF13" s="107"/>
      <c r="AG13" s="107"/>
      <c r="AH13" s="107"/>
      <c r="AI13" s="107"/>
      <c r="AJ13" s="107"/>
      <c r="AK13" s="107"/>
      <c r="AL13" s="107"/>
      <c r="AM13" s="107"/>
      <c r="AN13" s="107"/>
      <c r="AO13" s="107"/>
      <c r="AP13" s="107"/>
      <c r="AQ13" s="107"/>
      <c r="AR13" s="107"/>
      <c r="AS13" s="107"/>
      <c r="AT13" s="107"/>
      <c r="AU13" s="107"/>
      <c r="AV13" s="107"/>
    </row>
    <row r="14" spans="1:75" ht="12.9" customHeight="1" x14ac:dyDescent="0.3">
      <c r="A14" s="4"/>
      <c r="B14" s="41" t="s">
        <v>48</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39"/>
      <c r="AR14" s="39"/>
      <c r="AS14" s="39"/>
      <c r="AT14" s="39"/>
    </row>
    <row r="15" spans="1:75" ht="15" customHeight="1" x14ac:dyDescent="0.3">
      <c r="A15" s="4"/>
      <c r="B15" s="281" t="str">
        <f>"De gefinancierde en gesubsidieerde basisscholen vullen dit formulier in als ze voor het "&amp;B4&amp;" aanvullende lestijden voor anderstalige nieuwkomers willen organiseren."</f>
        <v>De gefinancierde en gesubsidieerde basisscholen vullen dit formulier in als ze voor het schooljaar 2023-2024 aanvullende lestijden voor anderstalige nieuwkomers willen organiseren.</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row>
    <row r="16" spans="1:75" ht="3" customHeight="1" x14ac:dyDescent="0.3">
      <c r="A16" s="4"/>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7"/>
      <c r="AR16" s="7"/>
      <c r="AS16" s="7"/>
      <c r="AT16" s="39"/>
    </row>
    <row r="17" spans="1:75" s="8" customFormat="1" ht="12.9" customHeight="1" x14ac:dyDescent="0.3">
      <c r="B17" s="41" t="s">
        <v>58</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39"/>
      <c r="AR17" s="34"/>
      <c r="AS17" s="34"/>
      <c r="AT17" s="39"/>
    </row>
    <row r="18" spans="1:75" s="9" customFormat="1" ht="3" customHeight="1" x14ac:dyDescent="0.3">
      <c r="B18" s="44"/>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6"/>
      <c r="AR18" s="47"/>
      <c r="AS18" s="47"/>
      <c r="AT18" s="46"/>
    </row>
    <row r="19" spans="1:75" s="9" customFormat="1" ht="15" customHeight="1" x14ac:dyDescent="0.25">
      <c r="B19" s="242" t="s">
        <v>1535</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row>
    <row r="20" spans="1:75" s="9" customFormat="1" ht="14.25" hidden="1" customHeight="1" x14ac:dyDescent="0.3">
      <c r="B20" s="242"/>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46"/>
    </row>
    <row r="21" spans="1:75" s="9" customFormat="1" ht="3.75" customHeight="1" x14ac:dyDescent="0.3">
      <c r="B21" s="48"/>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6"/>
    </row>
    <row r="22" spans="1:75" ht="12.9" customHeight="1" x14ac:dyDescent="0.3">
      <c r="B22" s="41" t="s">
        <v>59</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39"/>
      <c r="AR22" s="34"/>
      <c r="AS22" s="34"/>
      <c r="AT22" s="39"/>
    </row>
    <row r="23" spans="1:75" ht="14.1" customHeight="1" x14ac:dyDescent="0.3">
      <c r="B23" s="273" t="s">
        <v>1615</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row>
    <row r="24" spans="1:75" ht="9.15" customHeight="1" x14ac:dyDescent="0.3">
      <c r="A24" s="4"/>
      <c r="B24" s="10"/>
    </row>
    <row r="25" spans="1:75" ht="15.6" x14ac:dyDescent="0.3">
      <c r="A25" s="4"/>
      <c r="B25" s="264" t="s">
        <v>52</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row>
    <row r="26" spans="1:75" s="13" customFormat="1" ht="3" customHeight="1" x14ac:dyDescent="0.3">
      <c r="A26" s="1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T26" s="5"/>
      <c r="AU26" s="5"/>
      <c r="AV26" s="5"/>
      <c r="AW26" s="5"/>
      <c r="AX26" s="5"/>
      <c r="AY26" s="5"/>
      <c r="AZ26" s="5"/>
      <c r="BA26" s="5"/>
      <c r="BB26" s="5"/>
      <c r="BC26" s="5"/>
      <c r="BD26" s="5"/>
      <c r="BE26" s="5"/>
      <c r="BF26" s="5"/>
      <c r="BG26" s="5"/>
      <c r="BH26" s="5"/>
      <c r="BI26" s="5"/>
      <c r="BJ26" s="5"/>
      <c r="BK26" s="5"/>
      <c r="BL26" s="5"/>
      <c r="BM26" s="5"/>
    </row>
    <row r="27" spans="1:75" x14ac:dyDescent="0.3">
      <c r="A27" s="50">
        <v>1</v>
      </c>
      <c r="B27" s="40" t="s">
        <v>53</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row>
    <row r="28" spans="1:75" ht="3" customHeight="1" x14ac:dyDescent="0.3">
      <c r="A28" s="34"/>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row>
    <row r="29" spans="1:75" x14ac:dyDescent="0.3">
      <c r="A29" s="34"/>
      <c r="B29" s="204" t="s">
        <v>73</v>
      </c>
      <c r="C29" s="205"/>
      <c r="D29" s="205"/>
      <c r="E29" s="205"/>
      <c r="F29" s="205"/>
      <c r="G29" s="205"/>
      <c r="H29" s="205"/>
      <c r="I29" s="205"/>
      <c r="J29" s="205"/>
      <c r="K29" s="205"/>
      <c r="L29" s="205"/>
      <c r="M29" s="205"/>
      <c r="N29" s="205"/>
      <c r="O29" s="205"/>
      <c r="P29" s="14"/>
      <c r="Q29" s="219"/>
      <c r="R29" s="220"/>
      <c r="S29" s="220"/>
      <c r="T29" s="221"/>
      <c r="U29" s="51"/>
      <c r="V29" s="51"/>
      <c r="W29" s="51"/>
      <c r="X29" s="51"/>
      <c r="Y29" s="51"/>
      <c r="Z29" s="51"/>
      <c r="AA29" s="51"/>
      <c r="AB29" s="51"/>
      <c r="AC29" s="51"/>
      <c r="AD29" s="51"/>
      <c r="AE29" s="51"/>
      <c r="AF29" s="51"/>
      <c r="AG29" s="51"/>
      <c r="AH29" s="51"/>
      <c r="AI29" s="51"/>
      <c r="AJ29" s="51"/>
      <c r="AK29" s="51"/>
      <c r="AL29" s="51"/>
      <c r="AM29" s="51"/>
      <c r="AN29" s="51"/>
      <c r="AO29" s="51"/>
      <c r="AP29" s="51"/>
      <c r="AQ29" s="39"/>
      <c r="AR29" s="39"/>
      <c r="AS29" s="39"/>
    </row>
    <row r="30" spans="1:75" ht="3" customHeight="1" x14ac:dyDescent="0.3">
      <c r="A30" s="34"/>
      <c r="B30" s="39"/>
      <c r="C30" s="39"/>
      <c r="D30" s="39"/>
      <c r="E30" s="39"/>
      <c r="F30" s="39"/>
      <c r="G30" s="39"/>
      <c r="H30" s="39"/>
      <c r="I30" s="39"/>
      <c r="J30" s="39"/>
      <c r="K30" s="39"/>
      <c r="L30" s="39"/>
      <c r="M30" s="52"/>
      <c r="N30" s="39"/>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9"/>
      <c r="AO30" s="39"/>
      <c r="AP30" s="39"/>
      <c r="AQ30" s="39"/>
      <c r="AR30" s="39"/>
      <c r="AS30" s="39"/>
    </row>
    <row r="31" spans="1:75" x14ac:dyDescent="0.3">
      <c r="A31" s="34"/>
      <c r="B31" s="204" t="s">
        <v>56</v>
      </c>
      <c r="C31" s="204"/>
      <c r="D31" s="204"/>
      <c r="E31" s="204"/>
      <c r="F31" s="204"/>
      <c r="G31" s="204"/>
      <c r="H31" s="204"/>
      <c r="I31" s="204"/>
      <c r="J31" s="204"/>
      <c r="K31" s="204"/>
      <c r="L31" s="204"/>
      <c r="M31" s="204"/>
      <c r="N31" s="204"/>
      <c r="O31" s="204"/>
      <c r="P31" s="53"/>
      <c r="Q31" s="222" t="str">
        <f>IF(ISBLANK(Q29),"",VLOOKUP(Q29,instellingsgegevens!$A$2:$AX$495,2,FALSE))</f>
        <v/>
      </c>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row>
    <row r="32" spans="1:75" x14ac:dyDescent="0.3">
      <c r="A32" s="34"/>
      <c r="B32" s="39"/>
      <c r="C32" s="39"/>
      <c r="D32" s="39"/>
      <c r="E32" s="39"/>
      <c r="F32" s="39"/>
      <c r="G32" s="39"/>
      <c r="H32" s="39"/>
      <c r="I32" s="39"/>
      <c r="J32" s="39"/>
      <c r="K32" s="39"/>
      <c r="L32" s="39"/>
      <c r="M32" s="52"/>
      <c r="N32" s="39"/>
      <c r="O32" s="53"/>
      <c r="P32" s="53"/>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row>
    <row r="33" spans="1:75" s="13" customFormat="1" ht="3" customHeight="1" x14ac:dyDescent="0.3">
      <c r="A33" s="54"/>
      <c r="B33" s="55"/>
      <c r="C33" s="55"/>
      <c r="D33" s="55"/>
      <c r="E33" s="55"/>
      <c r="F33" s="55"/>
      <c r="G33" s="55"/>
      <c r="H33" s="55"/>
      <c r="I33" s="55"/>
      <c r="J33" s="55"/>
      <c r="K33" s="55"/>
      <c r="L33" s="55"/>
      <c r="M33" s="56"/>
      <c r="N33" s="55"/>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5"/>
      <c r="AR33" s="55"/>
      <c r="AS33" s="55"/>
      <c r="AT33" s="5"/>
      <c r="AU33" s="5"/>
      <c r="AV33" s="5"/>
      <c r="AW33" s="5"/>
      <c r="AX33" s="5"/>
      <c r="AY33" s="5"/>
      <c r="AZ33" s="5"/>
      <c r="BA33" s="5"/>
      <c r="BB33" s="5"/>
      <c r="BC33" s="5"/>
      <c r="BD33" s="5"/>
      <c r="BE33" s="5"/>
      <c r="BF33" s="5"/>
      <c r="BG33" s="5"/>
      <c r="BH33" s="5"/>
      <c r="BI33" s="5"/>
      <c r="BJ33" s="5"/>
      <c r="BK33" s="5"/>
      <c r="BL33" s="5"/>
      <c r="BM33" s="5"/>
    </row>
    <row r="34" spans="1:75" s="13" customFormat="1" ht="3" customHeight="1" x14ac:dyDescent="0.3">
      <c r="A34" s="54"/>
      <c r="B34" s="58"/>
      <c r="C34" s="52"/>
      <c r="D34" s="52"/>
      <c r="E34" s="52"/>
      <c r="F34" s="52"/>
      <c r="G34" s="52"/>
      <c r="H34" s="52"/>
      <c r="I34" s="52"/>
      <c r="J34" s="52"/>
      <c r="K34" s="52"/>
      <c r="L34" s="52"/>
      <c r="M34" s="52"/>
      <c r="N34" s="55"/>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5"/>
      <c r="AR34" s="55"/>
      <c r="AS34" s="55"/>
      <c r="AT34" s="5"/>
      <c r="AU34" s="5"/>
      <c r="AV34" s="5"/>
      <c r="AW34" s="5"/>
      <c r="AX34" s="5"/>
      <c r="AY34" s="5"/>
      <c r="AZ34" s="5"/>
      <c r="BA34" s="5"/>
      <c r="BB34" s="5"/>
      <c r="BC34" s="5"/>
      <c r="BD34" s="5"/>
      <c r="BE34" s="5"/>
      <c r="BF34" s="5"/>
      <c r="BG34" s="5"/>
      <c r="BH34" s="5"/>
      <c r="BI34" s="5"/>
      <c r="BJ34" s="5"/>
      <c r="BK34" s="5"/>
      <c r="BL34" s="5"/>
      <c r="BM34" s="5"/>
    </row>
    <row r="35" spans="1:75" x14ac:dyDescent="0.3">
      <c r="A35" s="34"/>
      <c r="B35" s="204" t="s">
        <v>74</v>
      </c>
      <c r="C35" s="205"/>
      <c r="D35" s="205"/>
      <c r="E35" s="205"/>
      <c r="F35" s="205"/>
      <c r="G35" s="205"/>
      <c r="H35" s="205"/>
      <c r="I35" s="205"/>
      <c r="J35" s="205"/>
      <c r="K35" s="205"/>
      <c r="L35" s="205"/>
      <c r="M35" s="205"/>
      <c r="N35" s="205"/>
      <c r="O35" s="205"/>
      <c r="P35" s="15"/>
      <c r="Q35" s="216" t="str">
        <f>IF(ISBLANK(Q29),"",VLOOKUP(Q29,instellingsgegevens!$A$2:$AX$495,3,FALSE))</f>
        <v/>
      </c>
      <c r="R35" s="216"/>
      <c r="S35" s="216"/>
      <c r="T35" s="216"/>
      <c r="U35" s="51"/>
      <c r="V35" s="51"/>
      <c r="W35" s="51"/>
      <c r="X35" s="51"/>
      <c r="Y35" s="51"/>
      <c r="Z35" s="51"/>
      <c r="AA35" s="51"/>
      <c r="AB35" s="51"/>
      <c r="AC35" s="51"/>
      <c r="AD35" s="51"/>
      <c r="AE35" s="51"/>
      <c r="AF35" s="51"/>
      <c r="AG35" s="51"/>
      <c r="AH35" s="51"/>
      <c r="AI35" s="51"/>
      <c r="AJ35" s="51"/>
      <c r="AK35" s="51"/>
      <c r="AL35" s="51"/>
      <c r="AM35" s="51"/>
      <c r="AN35" s="51"/>
      <c r="AO35" s="51"/>
      <c r="AP35" s="51"/>
      <c r="AQ35" s="39"/>
      <c r="AR35" s="39"/>
      <c r="AS35" s="39"/>
    </row>
    <row r="36" spans="1:75" ht="3" customHeight="1" x14ac:dyDescent="0.3">
      <c r="A36" s="34"/>
      <c r="B36" s="39"/>
      <c r="C36" s="39"/>
      <c r="D36" s="39"/>
      <c r="E36" s="39"/>
      <c r="F36" s="39"/>
      <c r="G36" s="39"/>
      <c r="H36" s="39"/>
      <c r="I36" s="39"/>
      <c r="J36" s="39"/>
      <c r="K36" s="39"/>
      <c r="L36" s="39"/>
      <c r="M36" s="52"/>
      <c r="N36" s="39"/>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9"/>
      <c r="AO36" s="39"/>
      <c r="AP36" s="39"/>
      <c r="AQ36" s="39"/>
      <c r="AR36" s="39"/>
      <c r="AS36" s="39"/>
    </row>
    <row r="37" spans="1:75" x14ac:dyDescent="0.3">
      <c r="A37" s="34"/>
      <c r="B37" s="204" t="s">
        <v>54</v>
      </c>
      <c r="C37" s="205"/>
      <c r="D37" s="205"/>
      <c r="E37" s="205"/>
      <c r="F37" s="205"/>
      <c r="G37" s="205"/>
      <c r="H37" s="205"/>
      <c r="I37" s="205"/>
      <c r="J37" s="205"/>
      <c r="K37" s="205"/>
      <c r="L37" s="205"/>
      <c r="M37" s="205"/>
      <c r="N37" s="205"/>
      <c r="O37" s="205"/>
      <c r="P37" s="53"/>
      <c r="Q37" s="222" t="str">
        <f>IF(ISBLANK(Q29),"",VLOOKUP(Q29,instellingsgegevens!$A$2:$AX$495,4,FALSE))</f>
        <v/>
      </c>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row>
    <row r="38" spans="1:75" x14ac:dyDescent="0.3">
      <c r="A38" s="34"/>
      <c r="B38" s="39"/>
      <c r="C38" s="39"/>
      <c r="D38" s="39"/>
      <c r="E38" s="39"/>
      <c r="F38" s="39"/>
      <c r="G38" s="39"/>
      <c r="H38" s="39"/>
      <c r="I38" s="39"/>
      <c r="J38" s="39"/>
      <c r="K38" s="39"/>
      <c r="L38" s="39"/>
      <c r="M38" s="52"/>
      <c r="N38" s="39"/>
      <c r="O38" s="53"/>
      <c r="P38" s="53"/>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row>
    <row r="39" spans="1:75" ht="3" customHeight="1" x14ac:dyDescent="0.3">
      <c r="A39" s="34"/>
      <c r="B39" s="39"/>
      <c r="C39" s="39"/>
      <c r="D39" s="39"/>
      <c r="E39" s="39"/>
      <c r="F39" s="39"/>
      <c r="G39" s="39"/>
      <c r="H39" s="39"/>
      <c r="I39" s="39"/>
      <c r="J39" s="39"/>
      <c r="K39" s="39"/>
      <c r="L39" s="39"/>
      <c r="M39" s="52"/>
      <c r="N39" s="39"/>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9"/>
      <c r="AO39" s="39"/>
      <c r="AP39" s="39"/>
      <c r="AQ39" s="39"/>
      <c r="AR39" s="39"/>
      <c r="AS39" s="39"/>
    </row>
    <row r="40" spans="1:75" x14ac:dyDescent="0.3">
      <c r="A40" s="34"/>
      <c r="B40" s="204" t="s">
        <v>60</v>
      </c>
      <c r="C40" s="205"/>
      <c r="D40" s="205"/>
      <c r="E40" s="205"/>
      <c r="F40" s="205"/>
      <c r="G40" s="205"/>
      <c r="H40" s="205"/>
      <c r="I40" s="205"/>
      <c r="J40" s="205"/>
      <c r="K40" s="205"/>
      <c r="L40" s="205"/>
      <c r="M40" s="205"/>
      <c r="N40" s="205"/>
      <c r="O40" s="205"/>
      <c r="P40" s="59"/>
      <c r="Q40" s="200" t="str">
        <f>IF(ISBLANK(Q29),"",VLOOKUP(Q29,instellingsgegevens!$A$2:$AX$495,5,FALSE))</f>
        <v/>
      </c>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row>
    <row r="41" spans="1:75" ht="3" customHeight="1" x14ac:dyDescent="0.3">
      <c r="A41" s="34"/>
      <c r="B41" s="205"/>
      <c r="C41" s="205"/>
      <c r="D41" s="205"/>
      <c r="E41" s="205"/>
      <c r="F41" s="205"/>
      <c r="G41" s="205"/>
      <c r="H41" s="205"/>
      <c r="I41" s="205"/>
      <c r="J41" s="205"/>
      <c r="K41" s="205"/>
      <c r="L41" s="205"/>
      <c r="M41" s="205"/>
      <c r="N41" s="205"/>
      <c r="O41" s="205"/>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9"/>
      <c r="AO41" s="39"/>
      <c r="AP41" s="39"/>
      <c r="AQ41" s="39"/>
      <c r="AR41" s="39"/>
      <c r="AS41" s="39"/>
    </row>
    <row r="42" spans="1:75" x14ac:dyDescent="0.3">
      <c r="A42" s="34"/>
      <c r="B42" s="204" t="s">
        <v>49</v>
      </c>
      <c r="C42" s="205"/>
      <c r="D42" s="205"/>
      <c r="E42" s="205"/>
      <c r="F42" s="205"/>
      <c r="G42" s="205"/>
      <c r="H42" s="205"/>
      <c r="I42" s="205"/>
      <c r="J42" s="205"/>
      <c r="K42" s="205"/>
      <c r="L42" s="205"/>
      <c r="M42" s="205"/>
      <c r="N42" s="205"/>
      <c r="O42" s="205"/>
      <c r="P42" s="59"/>
      <c r="Q42" s="200" t="str">
        <f>IF(ISBLANK(Q29),"",VLOOKUP(Q29,instellingsgegevens!$A$2:$AX$495,6,FALSE))</f>
        <v/>
      </c>
      <c r="R42" s="201"/>
      <c r="S42" s="201"/>
      <c r="T42" s="217" t="str">
        <f>IF(ISBLANK(Q29),"",VLOOKUP(Q29,instellingsgegevens!$A$2:$AX$495,7,FALSE))</f>
        <v/>
      </c>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row>
    <row r="43" spans="1:75" ht="3" customHeight="1" x14ac:dyDescent="0.3">
      <c r="A43" s="34"/>
      <c r="B43" s="52"/>
      <c r="C43" s="6"/>
      <c r="D43" s="6"/>
      <c r="E43" s="6"/>
      <c r="F43" s="6"/>
      <c r="G43" s="6"/>
      <c r="H43" s="6"/>
      <c r="I43" s="6"/>
      <c r="J43" s="6"/>
      <c r="K43" s="6"/>
      <c r="L43" s="6"/>
      <c r="M43" s="6"/>
      <c r="N43" s="6"/>
      <c r="O43" s="6"/>
      <c r="P43" s="59"/>
      <c r="Q43" s="60"/>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row>
    <row r="44" spans="1:75" x14ac:dyDescent="0.3">
      <c r="A44" s="34"/>
      <c r="B44" s="204" t="s">
        <v>75</v>
      </c>
      <c r="C44" s="205"/>
      <c r="D44" s="205"/>
      <c r="E44" s="205"/>
      <c r="F44" s="205"/>
      <c r="G44" s="205"/>
      <c r="H44" s="205"/>
      <c r="I44" s="205"/>
      <c r="J44" s="205"/>
      <c r="K44" s="205"/>
      <c r="L44" s="205"/>
      <c r="M44" s="205"/>
      <c r="N44" s="205"/>
      <c r="O44" s="205"/>
      <c r="P44" s="59"/>
      <c r="Q44" s="200" t="str">
        <f>IF(ISBLANK(Q29),"",VLOOKUP(Q29,instellingsgegevens!$A$2:$AX$495,8,FALSE))</f>
        <v/>
      </c>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row>
    <row r="45" spans="1:75" ht="9.15" customHeight="1" x14ac:dyDescent="0.3">
      <c r="A45" s="4"/>
    </row>
    <row r="46" spans="1:75" ht="15.6" x14ac:dyDescent="0.3">
      <c r="A46" s="17"/>
      <c r="B46" s="264" t="s">
        <v>401</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row>
    <row r="47" spans="1:75" ht="3" customHeight="1" x14ac:dyDescent="0.3">
      <c r="A47" s="4"/>
    </row>
    <row r="48" spans="1:75" x14ac:dyDescent="0.3">
      <c r="A48" s="50">
        <v>2</v>
      </c>
      <c r="B48" s="35" t="s">
        <v>61</v>
      </c>
      <c r="C48" s="39"/>
      <c r="D48" s="39"/>
      <c r="E48" s="39"/>
      <c r="F48" s="39"/>
      <c r="G48" s="39"/>
      <c r="H48" s="39"/>
      <c r="I48" s="39"/>
      <c r="J48" s="39"/>
      <c r="K48" s="39"/>
      <c r="L48" s="39"/>
      <c r="M48" s="39"/>
      <c r="N48" s="39"/>
      <c r="O48" s="39"/>
      <c r="P48" s="39"/>
      <c r="Q48" s="120" t="str">
        <f>IF(COUNTIF(C51:D56,"X")&gt;1,"U mag bij vraag "&amp;A48&amp;" maar één van de eerste drie vakjes aankruisen!","")</f>
        <v/>
      </c>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row>
    <row r="49" spans="1:75" ht="9.15" customHeight="1" x14ac:dyDescent="0.3">
      <c r="A49" s="34"/>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39"/>
      <c r="AR49" s="39"/>
      <c r="AS49" s="39"/>
    </row>
    <row r="50" spans="1:75" ht="3" hidden="1" customHeight="1" x14ac:dyDescent="0.3">
      <c r="A50" s="34"/>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row>
    <row r="51" spans="1:75" x14ac:dyDescent="0.3">
      <c r="A51" s="34"/>
      <c r="B51" s="39"/>
      <c r="C51" s="202"/>
      <c r="D51" s="203"/>
      <c r="E51" s="39" t="str">
        <f>" eerste aanvraag met minstens twaalf anderstalige nieuwkomers binnen de scholengemeenschap"</f>
        <v xml:space="preserve"> eerste aanvraag met minstens twaalf anderstalige nieuwkomers binnen de scholengemeenschap</v>
      </c>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I51" s="115" t="str">
        <f>IF(AND(ISBLANK(C51),B66&lt;&gt;""),"&lt;= Kruis dit vakje aan als u bij vraag "&amp;A63&amp;" gegevens invult!","")</f>
        <v/>
      </c>
      <c r="AK51" s="116"/>
      <c r="AL51" s="116"/>
      <c r="AM51" s="116"/>
      <c r="AN51" s="116"/>
      <c r="AO51" s="116"/>
      <c r="AP51" s="116"/>
      <c r="AQ51" s="116"/>
      <c r="AR51" s="116"/>
      <c r="AS51" s="116"/>
      <c r="AT51"/>
      <c r="AU51"/>
      <c r="AV51"/>
      <c r="AW51"/>
    </row>
    <row r="52" spans="1:75" s="13" customFormat="1" x14ac:dyDescent="0.3">
      <c r="A52" s="54"/>
      <c r="B52" s="55"/>
      <c r="C52" s="15"/>
      <c r="D52" s="15"/>
      <c r="E52" s="61" t="str">
        <f xml:space="preserve"> " Ga naar vraag " &amp;A63&amp;"."</f>
        <v xml:space="preserve"> Ga naar vraag 3.</v>
      </c>
      <c r="F52" s="55"/>
      <c r="G52" s="55"/>
      <c r="H52" s="55"/>
      <c r="I52" s="55"/>
      <c r="J52" s="55"/>
      <c r="K52" s="118"/>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55"/>
      <c r="AJ52" s="55"/>
      <c r="AK52" s="55"/>
      <c r="AL52" s="55"/>
      <c r="AM52" s="55"/>
      <c r="AN52" s="55"/>
      <c r="AO52" s="55"/>
      <c r="AP52" s="55"/>
      <c r="AQ52" s="55"/>
      <c r="AR52" s="55"/>
      <c r="AS52" s="55"/>
      <c r="AT52" s="5"/>
      <c r="AU52" s="5"/>
      <c r="AV52" s="5"/>
      <c r="AW52" s="5"/>
      <c r="AX52" s="5"/>
      <c r="AY52" s="5"/>
      <c r="AZ52" s="5"/>
      <c r="BA52" s="5"/>
      <c r="BB52" s="5"/>
      <c r="BC52" s="5"/>
      <c r="BD52" s="5"/>
      <c r="BE52" s="5"/>
      <c r="BF52" s="5"/>
      <c r="BG52" s="5"/>
      <c r="BH52" s="5"/>
      <c r="BI52" s="5"/>
      <c r="BJ52" s="5"/>
      <c r="BK52" s="5"/>
      <c r="BL52" s="5"/>
      <c r="BM52" s="5"/>
    </row>
    <row r="53" spans="1:75" ht="3.75" customHeight="1" x14ac:dyDescent="0.3">
      <c r="A53" s="34"/>
      <c r="B53" s="39"/>
      <c r="C53" s="62"/>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row>
    <row r="54" spans="1:75" x14ac:dyDescent="0.3">
      <c r="A54" s="34"/>
      <c r="B54" s="39"/>
      <c r="C54" s="202"/>
      <c r="D54" s="203"/>
      <c r="E54" s="39" t="str">
        <f>" stijging van het aantal anderstalige nieuwkomers met vier of meer binnen de scholengemeenschap"</f>
        <v xml:space="preserve"> stijging van het aantal anderstalige nieuwkomers met vier of meer binnen de scholengemeenschap</v>
      </c>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15" t="str">
        <f>IF(OR(C56="X",B142&lt;&gt;""),"",IF(AND(ISBLANK(C54),B72&lt;&gt;""),"&lt;= Kruis dit vakje aan als u bij vraag "&amp;A70&amp;" gegevens invult!",""))</f>
        <v/>
      </c>
      <c r="AK54" s="116"/>
      <c r="AL54" s="116"/>
      <c r="AM54" s="116"/>
      <c r="AN54" s="116"/>
      <c r="AO54" s="116"/>
      <c r="AP54" s="116"/>
      <c r="AQ54" s="116"/>
      <c r="AR54" s="116"/>
      <c r="AS54" s="116"/>
      <c r="AT54"/>
      <c r="AU54"/>
      <c r="AV54"/>
      <c r="AW54"/>
    </row>
    <row r="55" spans="1:75" x14ac:dyDescent="0.3">
      <c r="A55" s="34"/>
      <c r="B55" s="39"/>
      <c r="C55" s="62"/>
      <c r="D55" s="39"/>
      <c r="E55" s="61" t="str">
        <f>" Ga naar vraag " &amp;A70&amp;"."</f>
        <v xml:space="preserve"> Ga naar vraag 4.</v>
      </c>
      <c r="F55" s="39"/>
      <c r="G55" s="39"/>
      <c r="H55" s="39"/>
      <c r="I55" s="39"/>
      <c r="J55" s="39"/>
      <c r="K55" s="118"/>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39"/>
      <c r="AI55" s="39"/>
      <c r="AJ55" s="39"/>
      <c r="AK55" s="39"/>
      <c r="AL55" s="39"/>
      <c r="AM55" s="39"/>
      <c r="AN55" s="39"/>
      <c r="AO55" s="39"/>
      <c r="AP55" s="39"/>
      <c r="AQ55" s="39"/>
      <c r="AR55" s="39"/>
      <c r="AS55" s="39"/>
    </row>
    <row r="56" spans="1:75" x14ac:dyDescent="0.3">
      <c r="A56" s="34"/>
      <c r="B56" s="39"/>
      <c r="C56" s="202"/>
      <c r="D56" s="203"/>
      <c r="E56" s="39" t="str">
        <f>" daling van het aantal anderstalige nieuwkomers tot minder dan vier binnen de scholengemeenschap"</f>
        <v xml:space="preserve"> daling van het aantal anderstalige nieuwkomers tot minder dan vier binnen de scholengemeenschap</v>
      </c>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J56" s="115" t="str">
        <f>IF(AND(ISBLANK(C56),B142&lt;&gt;""),"&lt;= Kruis dit vakje aan als u bij vraag "&amp;A140&amp;" gegevens invult!","")</f>
        <v/>
      </c>
      <c r="AL56" s="116"/>
      <c r="AM56" s="116"/>
      <c r="AN56" s="116"/>
      <c r="AO56" s="116"/>
      <c r="AP56" s="116"/>
      <c r="AQ56" s="116"/>
      <c r="AR56" s="116"/>
      <c r="AS56" s="116"/>
      <c r="AT56"/>
      <c r="AU56"/>
      <c r="AV56"/>
      <c r="AW56"/>
    </row>
    <row r="57" spans="1:75" s="13" customFormat="1" ht="14.25" customHeight="1" x14ac:dyDescent="0.3">
      <c r="A57" s="54"/>
      <c r="B57" s="55"/>
      <c r="C57" s="15"/>
      <c r="D57" s="15"/>
      <c r="E57" s="61" t="str">
        <f>" Ga naar vraag " &amp;A140&amp;"."</f>
        <v xml:space="preserve"> Ga naar vraag 6.</v>
      </c>
      <c r="F57" s="55"/>
      <c r="G57" s="55"/>
      <c r="H57" s="55"/>
      <c r="I57" s="55"/>
      <c r="J57" s="55"/>
      <c r="K57" s="118"/>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55"/>
      <c r="AI57" s="55"/>
      <c r="AJ57" s="55"/>
      <c r="AK57" s="55"/>
      <c r="AL57" s="55"/>
      <c r="AM57" s="55"/>
      <c r="AN57" s="55"/>
      <c r="AO57" s="55"/>
      <c r="AP57" s="55"/>
      <c r="AQ57" s="55"/>
      <c r="AR57" s="55"/>
      <c r="AS57" s="55"/>
      <c r="AT57" s="5"/>
      <c r="AU57" s="5"/>
      <c r="AV57" s="5"/>
      <c r="AW57" s="5"/>
      <c r="AX57" s="5"/>
      <c r="AY57" s="5"/>
      <c r="AZ57" s="5"/>
      <c r="BA57" s="5"/>
      <c r="BB57" s="5"/>
      <c r="BC57" s="5"/>
      <c r="BD57" s="5"/>
      <c r="BE57" s="5"/>
      <c r="BF57" s="5"/>
      <c r="BG57" s="5"/>
      <c r="BH57" s="5"/>
      <c r="BI57" s="5"/>
      <c r="BJ57" s="5"/>
      <c r="BK57" s="5"/>
      <c r="BL57" s="5"/>
      <c r="BM57" s="5"/>
    </row>
    <row r="58" spans="1:75" s="13" customFormat="1" ht="12" customHeight="1" x14ac:dyDescent="0.3">
      <c r="A58" s="54"/>
      <c r="B58" s="55"/>
      <c r="C58" s="202"/>
      <c r="D58" s="203"/>
      <c r="E58" s="55" t="str">
        <f>" lestijden vervolgjaar voor gewezen anderstalige nieuwkomers (GAN) binnen de scholengemeenschap"</f>
        <v xml:space="preserve"> lestijden vervolgjaar voor gewezen anderstalige nieuwkomers (GAN) binnen de scholengemeenschap</v>
      </c>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121" t="str">
        <f>IF(AND(C58="",F194&gt;0),"&lt;= Kruis dit vakje aan als u bij vraag "&amp;A148&amp;" gegevens invult!","")</f>
        <v/>
      </c>
      <c r="AK58" s="55"/>
      <c r="AL58" s="55"/>
      <c r="AM58" s="55"/>
      <c r="AN58" s="55"/>
      <c r="AO58" s="55"/>
      <c r="AP58" s="55"/>
      <c r="AQ58" s="55"/>
      <c r="AR58" s="55"/>
      <c r="AS58" s="55"/>
      <c r="AT58" s="5"/>
      <c r="AU58" s="5"/>
      <c r="AV58" s="5"/>
      <c r="AW58" s="5"/>
      <c r="AX58" s="5"/>
      <c r="AY58" s="5"/>
      <c r="AZ58" s="5"/>
      <c r="BA58" s="5"/>
      <c r="BB58" s="5"/>
      <c r="BC58" s="5"/>
      <c r="BD58" s="5"/>
      <c r="BE58" s="5"/>
      <c r="BF58" s="5"/>
      <c r="BG58" s="5"/>
      <c r="BH58" s="5"/>
      <c r="BI58" s="5"/>
      <c r="BJ58" s="5"/>
      <c r="BK58" s="5"/>
      <c r="BL58" s="5"/>
      <c r="BM58" s="5"/>
    </row>
    <row r="59" spans="1:75" s="13" customFormat="1" ht="12" customHeight="1" x14ac:dyDescent="0.3">
      <c r="A59" s="54"/>
      <c r="B59" s="55"/>
      <c r="C59" s="15"/>
      <c r="D59" s="15"/>
      <c r="E59" s="61" t="str">
        <f>" Ga naar vraag "&amp;A148&amp;"."</f>
        <v xml:space="preserve"> Ga naar vraag 7.</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
      <c r="AU59" s="5"/>
      <c r="AV59" s="5"/>
      <c r="AW59" s="5"/>
      <c r="AX59" s="5"/>
      <c r="AY59" s="5"/>
      <c r="AZ59" s="5"/>
      <c r="BA59" s="5"/>
      <c r="BB59" s="5"/>
      <c r="BC59" s="5"/>
      <c r="BD59" s="5"/>
      <c r="BE59" s="5"/>
      <c r="BF59" s="5"/>
      <c r="BG59" s="5"/>
      <c r="BH59" s="5"/>
      <c r="BI59" s="5"/>
      <c r="BJ59" s="5"/>
      <c r="BK59" s="5"/>
      <c r="BL59" s="5"/>
      <c r="BM59" s="5"/>
    </row>
    <row r="60" spans="1:75" s="13" customFormat="1" ht="9.15" customHeight="1" x14ac:dyDescent="0.3">
      <c r="A60" s="54"/>
      <c r="B60" s="55"/>
      <c r="C60" s="15"/>
      <c r="D60" s="15"/>
      <c r="E60" s="149"/>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6"/>
      <c r="BA60" s="146"/>
      <c r="BB60" s="146"/>
      <c r="BC60" s="146"/>
      <c r="BD60" s="139"/>
      <c r="BE60" s="139"/>
      <c r="BF60" s="139"/>
      <c r="BG60" s="139"/>
      <c r="BH60" s="139"/>
      <c r="BI60" s="139"/>
      <c r="BJ60" s="139"/>
      <c r="BK60" s="139"/>
      <c r="BL60" s="139"/>
      <c r="BM60" s="139"/>
      <c r="BN60" s="139"/>
      <c r="BO60" s="139"/>
      <c r="BP60" s="139"/>
      <c r="BQ60" s="139"/>
      <c r="BR60" s="139"/>
      <c r="BS60" s="139"/>
      <c r="BT60" s="139"/>
      <c r="BU60" s="139"/>
      <c r="BV60" s="139"/>
      <c r="BW60" s="139"/>
    </row>
    <row r="61" spans="1:75" s="13" customFormat="1" ht="15.6" customHeight="1" x14ac:dyDescent="0.3">
      <c r="A61" s="19"/>
      <c r="B61" s="264" t="s">
        <v>64</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row>
    <row r="62" spans="1:75" s="13" customFormat="1" ht="3.75" customHeight="1" x14ac:dyDescent="0.3">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2"/>
      <c r="AT62" s="5"/>
      <c r="AU62" s="5"/>
      <c r="AV62" s="5"/>
      <c r="AW62" s="5"/>
      <c r="AX62" s="5"/>
      <c r="AY62" s="5"/>
      <c r="AZ62" s="5"/>
      <c r="BA62" s="5"/>
      <c r="BB62" s="5"/>
      <c r="BC62" s="5"/>
      <c r="BD62" s="5"/>
      <c r="BE62" s="5"/>
      <c r="BF62" s="5"/>
      <c r="BG62" s="5"/>
      <c r="BH62" s="5"/>
      <c r="BI62" s="5"/>
      <c r="BJ62" s="5"/>
      <c r="BK62" s="5"/>
      <c r="BL62" s="5"/>
      <c r="BM62" s="5"/>
    </row>
    <row r="63" spans="1:75" x14ac:dyDescent="0.3">
      <c r="A63" s="63">
        <v>3</v>
      </c>
      <c r="B63" s="35" t="s">
        <v>62</v>
      </c>
      <c r="C63" s="64"/>
      <c r="D63" s="64"/>
      <c r="E63" s="65"/>
      <c r="F63" s="34"/>
      <c r="G63" s="64"/>
      <c r="H63" s="64"/>
      <c r="I63" s="39"/>
      <c r="J63" s="65"/>
      <c r="K63" s="64"/>
      <c r="L63" s="64"/>
      <c r="M63" s="34"/>
      <c r="N63" s="39"/>
      <c r="O63" s="39"/>
      <c r="P63" s="34"/>
      <c r="Q63" s="39"/>
      <c r="R63" s="39"/>
      <c r="S63" s="244" t="str">
        <f>IF(AND(B66&lt;&gt;"",B72&lt;&gt;""),"Indien u bij vraag "&amp;A63&amp;" een datum invult, mag u bij vraag "&amp;A70&amp;" geen datum invullen!","")</f>
        <v/>
      </c>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row>
    <row r="64" spans="1:75" ht="15" customHeight="1" x14ac:dyDescent="0.3">
      <c r="A64" s="66"/>
      <c r="B64" s="67" t="str">
        <f xml:space="preserve"> "Als u deze vraag beantwoord hebt, gaat u naar vraag "&amp;A77&amp;"."</f>
        <v>Als u deze vraag beantwoord hebt, gaat u naar vraag 5.</v>
      </c>
      <c r="C64" s="68"/>
      <c r="D64" s="68"/>
      <c r="E64" s="69"/>
      <c r="F64" s="67"/>
      <c r="G64" s="68"/>
      <c r="H64" s="68"/>
      <c r="I64" s="70"/>
      <c r="J64" s="69"/>
      <c r="K64" s="68"/>
      <c r="L64" s="68"/>
      <c r="M64" s="67"/>
      <c r="N64" s="70"/>
      <c r="O64" s="70"/>
      <c r="P64" s="67"/>
      <c r="Q64" s="70"/>
      <c r="R64" s="70"/>
      <c r="S64" s="70"/>
      <c r="T64" s="69"/>
      <c r="U64" s="67"/>
      <c r="V64" s="67"/>
      <c r="W64" s="34"/>
      <c r="X64" s="39"/>
      <c r="Y64" s="39"/>
      <c r="Z64" s="39"/>
      <c r="AA64" s="39"/>
      <c r="AB64" s="39"/>
      <c r="AC64" s="39"/>
      <c r="AD64" s="39"/>
      <c r="AE64" s="39"/>
      <c r="AF64" s="39"/>
      <c r="AG64" s="39"/>
      <c r="AH64" s="39"/>
      <c r="AI64" s="39"/>
      <c r="AJ64" s="39"/>
      <c r="AK64" s="39"/>
      <c r="AL64" s="39"/>
      <c r="AM64" s="39"/>
      <c r="AN64" s="34"/>
      <c r="AO64" s="34"/>
      <c r="AP64" s="34"/>
      <c r="AQ64" s="34"/>
      <c r="AR64" s="39"/>
      <c r="AS64" s="39"/>
    </row>
    <row r="65" spans="1:75" ht="4.5" customHeight="1" x14ac:dyDescent="0.3">
      <c r="A65" s="66"/>
      <c r="B65" s="67"/>
      <c r="C65" s="68"/>
      <c r="D65" s="68"/>
      <c r="E65" s="69"/>
      <c r="F65" s="67"/>
      <c r="G65" s="68"/>
      <c r="H65" s="68"/>
      <c r="I65" s="70"/>
      <c r="J65" s="69"/>
      <c r="K65" s="68"/>
      <c r="L65" s="68"/>
      <c r="M65" s="67"/>
      <c r="N65" s="70"/>
      <c r="O65" s="70"/>
      <c r="P65" s="67"/>
      <c r="Q65" s="70"/>
      <c r="R65" s="70"/>
      <c r="S65" s="70"/>
      <c r="T65" s="69"/>
      <c r="U65" s="67"/>
      <c r="V65" s="67"/>
      <c r="W65" s="34"/>
      <c r="X65" s="39"/>
      <c r="Y65" s="39"/>
      <c r="Z65" s="39"/>
      <c r="AA65" s="39"/>
      <c r="AB65" s="39"/>
      <c r="AC65" s="39"/>
      <c r="AD65" s="39"/>
      <c r="AE65" s="39"/>
      <c r="AF65" s="39"/>
      <c r="AG65" s="39"/>
      <c r="AH65" s="39"/>
      <c r="AI65" s="39"/>
      <c r="AJ65" s="39"/>
      <c r="AK65" s="39"/>
      <c r="AL65" s="39"/>
      <c r="AM65" s="39"/>
      <c r="AN65" s="34"/>
      <c r="AO65" s="34"/>
      <c r="AP65" s="34"/>
      <c r="AQ65" s="34"/>
      <c r="AR65" s="39"/>
      <c r="AS65" s="39"/>
    </row>
    <row r="66" spans="1:75" x14ac:dyDescent="0.3">
      <c r="A66" s="66"/>
      <c r="B66" s="175"/>
      <c r="C66" s="176"/>
      <c r="D66" s="176"/>
      <c r="E66" s="176"/>
      <c r="F66" s="176"/>
      <c r="G66" s="177"/>
      <c r="H66" s="224" t="str">
        <f>IF(AND(C51&lt;&gt;"",ISBLANK(B66)),"&lt;= Vul de datum in.","")</f>
        <v/>
      </c>
      <c r="I66" s="225"/>
      <c r="J66" s="225"/>
      <c r="K66" s="225"/>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row>
    <row r="67" spans="1:75" s="13" customFormat="1" ht="11.25" customHeight="1" x14ac:dyDescent="0.3">
      <c r="A67" s="71"/>
      <c r="B67" s="54"/>
      <c r="C67" s="55"/>
      <c r="D67" s="72"/>
      <c r="E67" s="72"/>
      <c r="F67" s="15"/>
      <c r="G67" s="15"/>
      <c r="H67" s="15"/>
      <c r="I67" s="15"/>
      <c r="J67" s="15"/>
      <c r="K67" s="15"/>
      <c r="L67" s="15"/>
      <c r="M67" s="15"/>
      <c r="N67" s="15"/>
      <c r="O67" s="15"/>
      <c r="P67" s="72"/>
      <c r="Q67" s="15"/>
      <c r="R67" s="15"/>
      <c r="S67" s="15"/>
      <c r="T67" s="15"/>
      <c r="U67" s="15"/>
      <c r="V67" s="54"/>
      <c r="W67" s="55"/>
      <c r="X67" s="55"/>
      <c r="Y67" s="55"/>
      <c r="Z67" s="55"/>
      <c r="AA67" s="55"/>
      <c r="AB67" s="55"/>
      <c r="AC67" s="55"/>
      <c r="AD67" s="55"/>
      <c r="AE67" s="55"/>
      <c r="AF67" s="55"/>
      <c r="AG67" s="55"/>
      <c r="AH67" s="55"/>
      <c r="AI67" s="55"/>
      <c r="AJ67" s="55"/>
      <c r="AK67" s="55"/>
      <c r="AL67" s="55"/>
      <c r="AM67" s="55"/>
      <c r="AN67" s="55"/>
      <c r="AO67" s="54"/>
      <c r="AP67" s="54"/>
      <c r="AQ67" s="54"/>
      <c r="AR67" s="55"/>
      <c r="AS67" s="55"/>
      <c r="AT67" s="5"/>
      <c r="AU67" s="5"/>
      <c r="AV67" s="5"/>
      <c r="AW67" s="5"/>
      <c r="AX67" s="5"/>
      <c r="AY67" s="5"/>
      <c r="AZ67" s="5"/>
      <c r="BA67" s="5"/>
      <c r="BB67" s="5"/>
      <c r="BC67" s="5"/>
      <c r="BD67" s="5"/>
      <c r="BE67" s="5"/>
      <c r="BF67" s="5"/>
      <c r="BG67" s="5"/>
      <c r="BH67" s="5"/>
      <c r="BI67" s="5"/>
      <c r="BJ67" s="5"/>
      <c r="BK67" s="5"/>
      <c r="BL67" s="5"/>
      <c r="BM67" s="5"/>
    </row>
    <row r="68" spans="1:75" s="13" customFormat="1" ht="15.6" x14ac:dyDescent="0.3">
      <c r="A68" s="27"/>
      <c r="B68" s="264" t="s">
        <v>78</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row>
    <row r="69" spans="1:75" s="13" customFormat="1" ht="3.75" customHeight="1" x14ac:dyDescent="0.3">
      <c r="A69" s="28"/>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9"/>
      <c r="AT69" s="5"/>
      <c r="AU69" s="5"/>
      <c r="AV69" s="5"/>
      <c r="AW69" s="5"/>
      <c r="AX69" s="5"/>
      <c r="AY69" s="5"/>
      <c r="AZ69" s="5"/>
      <c r="BA69" s="5"/>
      <c r="BB69" s="5"/>
      <c r="BC69" s="5"/>
      <c r="BD69" s="5"/>
      <c r="BE69" s="5"/>
      <c r="BF69" s="5"/>
      <c r="BG69" s="5"/>
      <c r="BH69" s="5"/>
      <c r="BI69" s="5"/>
      <c r="BJ69" s="5"/>
      <c r="BK69" s="5"/>
      <c r="BL69" s="5"/>
      <c r="BM69" s="5"/>
    </row>
    <row r="70" spans="1:75" x14ac:dyDescent="0.3">
      <c r="A70" s="63">
        <v>4</v>
      </c>
      <c r="B70" s="35" t="s">
        <v>51</v>
      </c>
      <c r="C70" s="64"/>
      <c r="D70" s="64"/>
      <c r="E70" s="65"/>
      <c r="F70" s="34"/>
      <c r="G70" s="64"/>
      <c r="H70" s="64"/>
      <c r="I70" s="39"/>
      <c r="J70" s="65"/>
      <c r="K70" s="64"/>
      <c r="L70" s="64"/>
      <c r="M70" s="34"/>
      <c r="N70" s="39"/>
      <c r="O70" s="39"/>
      <c r="P70" s="131" t="str">
        <f>IF(AND(B66&lt;&gt;"",B72&lt;&gt;""),"Indien u een datum bij vraag "&amp;A70&amp;" invult, mag u bij vraag "&amp;A63&amp;" geen datum invullen!","")</f>
        <v/>
      </c>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row>
    <row r="71" spans="1:75" ht="3.75" customHeight="1" x14ac:dyDescent="0.3">
      <c r="A71" s="66"/>
      <c r="B71" s="34"/>
      <c r="C71" s="64"/>
      <c r="D71" s="64"/>
      <c r="E71" s="65"/>
      <c r="F71" s="34"/>
      <c r="G71" s="64"/>
      <c r="H71" s="64"/>
      <c r="I71" s="39"/>
      <c r="J71" s="65"/>
      <c r="K71" s="64"/>
      <c r="L71" s="64"/>
      <c r="M71" s="34"/>
      <c r="N71" s="39"/>
      <c r="O71" s="39"/>
      <c r="P71" s="34"/>
      <c r="Q71" s="39"/>
      <c r="R71" s="39"/>
      <c r="S71" s="39"/>
      <c r="T71" s="65"/>
      <c r="U71" s="34"/>
      <c r="V71" s="34"/>
      <c r="W71" s="34"/>
      <c r="X71" s="39"/>
      <c r="Y71" s="39"/>
      <c r="Z71" s="39"/>
      <c r="AA71" s="39"/>
      <c r="AB71" s="39"/>
      <c r="AC71" s="39"/>
      <c r="AD71" s="39"/>
      <c r="AE71" s="39"/>
      <c r="AF71" s="39"/>
      <c r="AG71" s="39"/>
      <c r="AH71" s="39"/>
      <c r="AI71" s="39"/>
      <c r="AJ71" s="39"/>
      <c r="AK71" s="39"/>
      <c r="AL71" s="39"/>
      <c r="AM71" s="39"/>
      <c r="AN71" s="34"/>
      <c r="AO71" s="34"/>
      <c r="AP71" s="34"/>
      <c r="AQ71" s="34"/>
      <c r="AR71" s="39"/>
      <c r="AS71" s="39"/>
    </row>
    <row r="72" spans="1:75" x14ac:dyDescent="0.3">
      <c r="A72" s="66"/>
      <c r="B72" s="175"/>
      <c r="C72" s="176"/>
      <c r="D72" s="176"/>
      <c r="E72" s="176"/>
      <c r="F72" s="176"/>
      <c r="G72" s="177"/>
      <c r="H72" s="127" t="str">
        <f>IF(AND(C54&lt;&gt;"",ISBLANK(B72)),"&lt;= Vul de datum in.","")</f>
        <v/>
      </c>
      <c r="I72" s="128"/>
      <c r="J72" s="128"/>
      <c r="K72" s="128"/>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row>
    <row r="73" spans="1:75" ht="12.6" hidden="1" customHeight="1" x14ac:dyDescent="0.3">
      <c r="A73" s="66"/>
      <c r="B73" s="93"/>
      <c r="C73" s="94"/>
      <c r="D73" s="94"/>
      <c r="E73" s="94"/>
      <c r="F73" s="94"/>
      <c r="G73" s="94"/>
      <c r="H73" s="91"/>
      <c r="I73" s="91"/>
      <c r="J73" s="91"/>
      <c r="K73" s="91"/>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row>
    <row r="74" spans="1:75" s="13" customFormat="1" ht="9.15" customHeight="1" x14ac:dyDescent="0.3">
      <c r="A74" s="25"/>
      <c r="B74" s="11"/>
      <c r="D74" s="26"/>
      <c r="E74" s="26"/>
      <c r="F74" s="18"/>
      <c r="G74" s="18"/>
      <c r="H74" s="18"/>
      <c r="I74" s="18"/>
      <c r="J74" s="18"/>
      <c r="K74" s="18"/>
      <c r="L74" s="18"/>
      <c r="M74" s="18"/>
      <c r="N74" s="18"/>
      <c r="O74" s="18"/>
      <c r="P74" s="26"/>
      <c r="Q74" s="18"/>
      <c r="R74" s="18"/>
      <c r="S74" s="18"/>
      <c r="T74" s="18"/>
      <c r="U74" s="18"/>
      <c r="V74" s="11"/>
      <c r="AT74" s="5"/>
      <c r="AU74" s="5"/>
      <c r="AV74" s="5"/>
      <c r="AW74" s="5"/>
      <c r="AX74" s="5"/>
      <c r="AY74" s="5"/>
      <c r="AZ74" s="5"/>
      <c r="BA74" s="5"/>
      <c r="BB74" s="5"/>
      <c r="BC74" s="5"/>
      <c r="BD74" s="5"/>
      <c r="BE74" s="5"/>
      <c r="BF74" s="5"/>
      <c r="BG74" s="5"/>
      <c r="BH74" s="5"/>
      <c r="BI74" s="5"/>
      <c r="BJ74" s="5"/>
      <c r="BK74" s="5"/>
      <c r="BL74" s="5"/>
      <c r="BM74" s="5"/>
    </row>
    <row r="75" spans="1:75" ht="15.6" x14ac:dyDescent="0.3">
      <c r="A75" s="31"/>
      <c r="B75" s="264" t="s">
        <v>55</v>
      </c>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row>
    <row r="76" spans="1:75" s="13" customFormat="1" ht="3.75" customHeight="1" x14ac:dyDescent="0.3">
      <c r="A76" s="22"/>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2"/>
      <c r="AT76" s="5"/>
      <c r="AU76" s="5"/>
      <c r="AV76" s="5"/>
      <c r="AW76" s="5"/>
      <c r="AX76" s="5"/>
      <c r="AY76" s="5"/>
      <c r="AZ76" s="5"/>
      <c r="BA76" s="5"/>
      <c r="BB76" s="5"/>
      <c r="BC76" s="5"/>
      <c r="BD76" s="5"/>
      <c r="BE76" s="5"/>
      <c r="BF76" s="5"/>
      <c r="BG76" s="5"/>
      <c r="BH76" s="5"/>
      <c r="BI76" s="5"/>
      <c r="BJ76" s="5"/>
      <c r="BK76" s="5"/>
      <c r="BL76" s="5"/>
      <c r="BM76" s="5"/>
    </row>
    <row r="77" spans="1:75" s="13" customFormat="1" ht="15" customHeight="1" x14ac:dyDescent="0.3">
      <c r="A77" s="50">
        <v>5</v>
      </c>
      <c r="B77" s="35" t="s">
        <v>63</v>
      </c>
      <c r="C77" s="39"/>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4"/>
      <c r="AR77" s="55"/>
      <c r="AS77" s="55"/>
      <c r="AT77" s="5"/>
      <c r="AU77" s="5"/>
      <c r="AV77" s="5"/>
      <c r="AW77" s="5"/>
      <c r="AX77" s="5"/>
      <c r="AY77" s="5"/>
      <c r="AZ77" s="5"/>
      <c r="BA77" s="5"/>
      <c r="BB77" s="5"/>
      <c r="BC77" s="5"/>
      <c r="BD77" s="5"/>
      <c r="BE77" s="5"/>
      <c r="BF77" s="5"/>
      <c r="BG77" s="5"/>
      <c r="BH77" s="5"/>
      <c r="BI77" s="5"/>
      <c r="BJ77" s="5"/>
      <c r="BK77" s="5"/>
      <c r="BL77" s="5"/>
      <c r="BM77" s="5"/>
    </row>
    <row r="78" spans="1:75" s="13" customFormat="1" ht="16.2" customHeight="1" x14ac:dyDescent="0.3">
      <c r="A78" s="50"/>
      <c r="B78" s="223" t="s">
        <v>39</v>
      </c>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row>
    <row r="79" spans="1:75" s="13" customFormat="1" ht="15" customHeight="1" x14ac:dyDescent="0.3">
      <c r="A79" s="50"/>
      <c r="B79" s="214" t="s">
        <v>207</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5"/>
      <c r="AU79" s="5"/>
      <c r="AV79" s="5"/>
      <c r="AW79" s="5"/>
      <c r="AX79" s="5"/>
      <c r="AY79" s="5"/>
      <c r="AZ79" s="5"/>
      <c r="BA79" s="5"/>
      <c r="BB79" s="5"/>
      <c r="BC79" s="5"/>
      <c r="BD79" s="5"/>
      <c r="BE79" s="5"/>
      <c r="BF79" s="5"/>
      <c r="BG79" s="5"/>
      <c r="BH79" s="5"/>
      <c r="BI79" s="5"/>
      <c r="BJ79" s="5"/>
      <c r="BK79" s="5"/>
      <c r="BL79" s="5"/>
      <c r="BM79" s="5"/>
    </row>
    <row r="80" spans="1:75" s="13" customFormat="1" ht="16.2" customHeight="1" x14ac:dyDescent="0.3">
      <c r="A80" s="50"/>
      <c r="B80" s="223" t="s">
        <v>206</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row>
    <row r="81" spans="1:76" s="13" customFormat="1" ht="16.2" customHeight="1" x14ac:dyDescent="0.3">
      <c r="A81" s="50"/>
      <c r="B81" s="214" t="s">
        <v>208</v>
      </c>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137" t="str">
        <f>IF(AND(B72&lt;&gt;"",K85=""),"Vul de datum van de stijging in.","")</f>
        <v/>
      </c>
      <c r="BD81" s="130"/>
      <c r="BE81" s="130"/>
      <c r="BF81" s="130"/>
      <c r="BG81" s="130"/>
      <c r="BH81" s="130"/>
      <c r="BI81" s="130"/>
      <c r="BJ81" s="130"/>
      <c r="BK81" s="130"/>
      <c r="BL81" s="130"/>
      <c r="BM81" s="130"/>
      <c r="BN81" s="130"/>
      <c r="BO81" s="130"/>
      <c r="BP81" s="130"/>
      <c r="BQ81" s="130"/>
      <c r="BR81" s="130"/>
      <c r="BS81" s="130"/>
      <c r="BT81" s="130"/>
      <c r="BU81" s="130"/>
      <c r="BV81" s="130"/>
      <c r="BW81" s="130"/>
    </row>
    <row r="82" spans="1:76" s="13" customFormat="1" ht="5.25" customHeight="1" x14ac:dyDescent="0.3">
      <c r="A82" s="50"/>
      <c r="B82" s="75"/>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5"/>
      <c r="AU82" s="5"/>
      <c r="AV82" s="5"/>
      <c r="AW82" s="5"/>
      <c r="AX82" s="5"/>
      <c r="AY82" s="5"/>
      <c r="AZ82" s="5"/>
      <c r="BA82" s="5"/>
      <c r="BB82" s="5"/>
      <c r="BC82" s="5"/>
      <c r="BD82" s="5"/>
      <c r="BE82" s="5"/>
      <c r="BF82" s="5"/>
      <c r="BG82" s="5"/>
      <c r="BH82" s="5"/>
      <c r="BI82" s="5"/>
      <c r="BJ82" s="5"/>
      <c r="BK82" s="5"/>
      <c r="BL82" s="5"/>
      <c r="BM82" s="5"/>
    </row>
    <row r="83" spans="1:76" s="13" customFormat="1" ht="12" customHeight="1" x14ac:dyDescent="0.3">
      <c r="A83" s="50"/>
      <c r="B83" s="67" t="str">
        <f xml:space="preserve"> "Als u deze vraag beantwoord hebt, gaat u naar vraag "&amp;A198&amp;"."</f>
        <v>Als u deze vraag beantwoord hebt, gaat u naar vraag 8.</v>
      </c>
      <c r="C83" s="70"/>
      <c r="D83" s="77"/>
      <c r="E83" s="77"/>
      <c r="F83" s="77"/>
      <c r="G83" s="77"/>
      <c r="H83" s="77"/>
      <c r="I83" s="77"/>
      <c r="J83" s="77"/>
      <c r="K83" s="77"/>
      <c r="L83" s="77"/>
      <c r="M83" s="77"/>
      <c r="N83" s="77"/>
      <c r="O83" s="77"/>
      <c r="P83" s="77"/>
      <c r="Q83" s="77"/>
      <c r="R83" s="77"/>
      <c r="S83" s="77"/>
      <c r="U83" s="247" t="str">
        <f>IF(AND(H72&lt;&gt;"",F85&lt;&gt;""),"Beantwoord eerst vraag "&amp;A70&amp;"!",IF(AND(B66&lt;&gt;"",F85=""),"Vul bij vraag "&amp;A77&amp;" de datum van de eerste aanvraag in.",IF(OR(AND(ISBLANK(B72),ISBLANK(F85)),AND(ISBLANK(B66),ISBLANK(B72),C56&lt;&gt;"",F85&lt;&gt;"")),"",IF(AND(ISBLANK(B72),ISBLANK(B142),B66&lt;&gt;F85),"De datum van de eerste aanvraag stemt niet overeen met de datum bij vraag 3!",""))))</f>
        <v/>
      </c>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138" t="str">
        <f>IF(OR(AND(ISBLANK(B142),MAX(K85,P85,U85,Z85,AE85,AJ85,AO85,AT85,AY85,BD85,BI85,BN85,BS85)&lt;&gt;B72),AND(ISBLANK(B72),MAX(K85,P85,U85,Z85,AE85,AJ85,AO85,AT85,AY85,BD85,BI85,BN85,BS85)&lt;&gt;B142)),"De laatste berekeningsdatum stemt (nog) niet overeen met de datum bij vraag 4, 5 of 6, of de chronologische volgorde is niet juist!","")</f>
        <v/>
      </c>
      <c r="AY83" s="5"/>
      <c r="AZ83" s="5"/>
      <c r="BA83" s="5"/>
      <c r="BB83" s="5"/>
      <c r="BC83" s="5"/>
      <c r="BD83" s="5"/>
      <c r="BE83" s="5"/>
      <c r="BF83" s="5"/>
      <c r="BG83" s="5"/>
      <c r="BH83" s="5"/>
      <c r="BI83" s="5"/>
      <c r="BJ83" s="5"/>
      <c r="BK83" s="5"/>
      <c r="BL83" s="5"/>
      <c r="BM83" s="5"/>
    </row>
    <row r="84" spans="1:76" s="13" customFormat="1" ht="5.7" customHeight="1" thickBot="1" x14ac:dyDescent="0.35">
      <c r="A84" s="78"/>
      <c r="B84" s="79"/>
      <c r="C84" s="79"/>
      <c r="D84" s="79"/>
      <c r="E84" s="79"/>
      <c r="F84" s="79"/>
      <c r="G84" s="79"/>
      <c r="H84" s="80"/>
      <c r="I84" s="80"/>
      <c r="J84" s="80"/>
      <c r="K84" s="80"/>
      <c r="L84" s="80"/>
      <c r="M84" s="80"/>
      <c r="N84" s="80"/>
      <c r="O84" s="80"/>
      <c r="P84" s="80"/>
      <c r="Q84" s="73"/>
      <c r="R84" s="73"/>
      <c r="S84" s="73"/>
      <c r="T84" s="73"/>
      <c r="U84" s="73"/>
      <c r="V84" s="73"/>
      <c r="W84" s="73"/>
      <c r="X84" s="73"/>
      <c r="Y84" s="73"/>
      <c r="Z84" s="73"/>
      <c r="AA84" s="73"/>
      <c r="AB84" s="73"/>
      <c r="AC84" s="55"/>
      <c r="AD84" s="55"/>
      <c r="AE84" s="55"/>
      <c r="AF84" s="55"/>
      <c r="AG84" s="55"/>
      <c r="AH84" s="55"/>
      <c r="AI84" s="73"/>
      <c r="AJ84" s="73"/>
      <c r="AK84" s="55"/>
      <c r="AL84" s="55"/>
      <c r="AM84" s="55"/>
      <c r="AN84" s="55"/>
      <c r="AO84" s="55"/>
      <c r="AP84" s="55"/>
      <c r="AQ84" s="74"/>
      <c r="AR84" s="55"/>
      <c r="AS84" s="55"/>
      <c r="AT84" s="5"/>
      <c r="AU84" s="5"/>
      <c r="AV84" s="5"/>
      <c r="AW84" s="5"/>
      <c r="AX84" s="5"/>
      <c r="AY84" s="5"/>
      <c r="AZ84" s="5"/>
      <c r="BA84" s="5"/>
      <c r="BB84" s="5"/>
      <c r="BC84" s="5"/>
      <c r="BD84" s="5"/>
      <c r="BE84" s="5"/>
      <c r="BF84" s="5"/>
      <c r="BG84" s="5"/>
      <c r="BH84" s="5"/>
      <c r="BI84" s="5"/>
      <c r="BJ84" s="5"/>
      <c r="BK84" s="5"/>
      <c r="BL84" s="5"/>
      <c r="BM84" s="5"/>
    </row>
    <row r="85" spans="1:76" s="13" customFormat="1" ht="18" customHeight="1" x14ac:dyDescent="0.3">
      <c r="A85" s="78"/>
      <c r="B85" s="150" t="s">
        <v>77</v>
      </c>
      <c r="C85" s="206"/>
      <c r="D85" s="206"/>
      <c r="E85" s="207"/>
      <c r="F85" s="232"/>
      <c r="G85" s="233"/>
      <c r="H85" s="233"/>
      <c r="I85" s="234"/>
      <c r="J85" s="227" t="s">
        <v>68</v>
      </c>
      <c r="K85" s="232"/>
      <c r="L85" s="233"/>
      <c r="M85" s="233"/>
      <c r="N85" s="234"/>
      <c r="O85" s="227" t="s">
        <v>68</v>
      </c>
      <c r="P85" s="232"/>
      <c r="Q85" s="233"/>
      <c r="R85" s="233"/>
      <c r="S85" s="234"/>
      <c r="T85" s="227" t="s">
        <v>68</v>
      </c>
      <c r="U85" s="232"/>
      <c r="V85" s="233"/>
      <c r="W85" s="233"/>
      <c r="X85" s="234"/>
      <c r="Y85" s="227" t="s">
        <v>68</v>
      </c>
      <c r="Z85" s="232"/>
      <c r="AA85" s="233"/>
      <c r="AB85" s="233"/>
      <c r="AC85" s="234"/>
      <c r="AD85" s="227" t="s">
        <v>68</v>
      </c>
      <c r="AE85" s="232"/>
      <c r="AF85" s="233"/>
      <c r="AG85" s="233"/>
      <c r="AH85" s="234"/>
      <c r="AI85" s="227" t="s">
        <v>68</v>
      </c>
      <c r="AJ85" s="232"/>
      <c r="AK85" s="233"/>
      <c r="AL85" s="233"/>
      <c r="AM85" s="234"/>
      <c r="AN85" s="227" t="s">
        <v>68</v>
      </c>
      <c r="AO85" s="232"/>
      <c r="AP85" s="233"/>
      <c r="AQ85" s="233"/>
      <c r="AR85" s="234"/>
      <c r="AS85" s="227" t="s">
        <v>68</v>
      </c>
      <c r="AT85" s="232"/>
      <c r="AU85" s="233"/>
      <c r="AV85" s="233"/>
      <c r="AW85" s="234"/>
      <c r="AX85" s="227" t="s">
        <v>68</v>
      </c>
      <c r="AY85" s="232"/>
      <c r="AZ85" s="233"/>
      <c r="BA85" s="233"/>
      <c r="BB85" s="234"/>
      <c r="BC85" s="227" t="s">
        <v>68</v>
      </c>
      <c r="BD85" s="232"/>
      <c r="BE85" s="233"/>
      <c r="BF85" s="233"/>
      <c r="BG85" s="234"/>
      <c r="BH85" s="227" t="s">
        <v>68</v>
      </c>
      <c r="BI85" s="232"/>
      <c r="BJ85" s="233"/>
      <c r="BK85" s="233"/>
      <c r="BL85" s="234"/>
      <c r="BM85" s="227" t="s">
        <v>68</v>
      </c>
      <c r="BN85" s="232"/>
      <c r="BO85" s="233"/>
      <c r="BP85" s="233"/>
      <c r="BQ85" s="234"/>
      <c r="BR85" s="227" t="s">
        <v>68</v>
      </c>
      <c r="BS85" s="232"/>
      <c r="BT85" s="233"/>
      <c r="BU85" s="233"/>
      <c r="BV85" s="234"/>
      <c r="BW85" s="227" t="s">
        <v>68</v>
      </c>
      <c r="BX85" s="136"/>
    </row>
    <row r="86" spans="1:76" s="13" customFormat="1" ht="27.15" customHeight="1" thickBot="1" x14ac:dyDescent="0.35">
      <c r="A86" s="78"/>
      <c r="B86" s="235" t="s">
        <v>79</v>
      </c>
      <c r="C86" s="236"/>
      <c r="D86" s="236"/>
      <c r="E86" s="237"/>
      <c r="F86" s="238" t="s">
        <v>57</v>
      </c>
      <c r="G86" s="230"/>
      <c r="H86" s="231" t="s">
        <v>67</v>
      </c>
      <c r="I86" s="229"/>
      <c r="J86" s="228"/>
      <c r="K86" s="238" t="s">
        <v>57</v>
      </c>
      <c r="L86" s="230"/>
      <c r="M86" s="231" t="s">
        <v>67</v>
      </c>
      <c r="N86" s="229"/>
      <c r="O86" s="228"/>
      <c r="P86" s="238" t="s">
        <v>57</v>
      </c>
      <c r="Q86" s="230"/>
      <c r="R86" s="231" t="s">
        <v>67</v>
      </c>
      <c r="S86" s="229"/>
      <c r="T86" s="228"/>
      <c r="U86" s="238" t="s">
        <v>57</v>
      </c>
      <c r="V86" s="230"/>
      <c r="W86" s="231" t="s">
        <v>67</v>
      </c>
      <c r="X86" s="229"/>
      <c r="Y86" s="228"/>
      <c r="Z86" s="229" t="s">
        <v>57</v>
      </c>
      <c r="AA86" s="230"/>
      <c r="AB86" s="231" t="s">
        <v>67</v>
      </c>
      <c r="AC86" s="229"/>
      <c r="AD86" s="228"/>
      <c r="AE86" s="229" t="s">
        <v>57</v>
      </c>
      <c r="AF86" s="230"/>
      <c r="AG86" s="231" t="s">
        <v>67</v>
      </c>
      <c r="AH86" s="229"/>
      <c r="AI86" s="228"/>
      <c r="AJ86" s="229" t="s">
        <v>57</v>
      </c>
      <c r="AK86" s="230"/>
      <c r="AL86" s="231" t="s">
        <v>67</v>
      </c>
      <c r="AM86" s="229"/>
      <c r="AN86" s="228"/>
      <c r="AO86" s="229" t="s">
        <v>57</v>
      </c>
      <c r="AP86" s="230"/>
      <c r="AQ86" s="231" t="s">
        <v>67</v>
      </c>
      <c r="AR86" s="229"/>
      <c r="AS86" s="228"/>
      <c r="AT86" s="258" t="s">
        <v>57</v>
      </c>
      <c r="AU86" s="259"/>
      <c r="AV86" s="260" t="s">
        <v>67</v>
      </c>
      <c r="AW86" s="258"/>
      <c r="AX86" s="257"/>
      <c r="AY86" s="258" t="s">
        <v>57</v>
      </c>
      <c r="AZ86" s="259"/>
      <c r="BA86" s="260" t="s">
        <v>67</v>
      </c>
      <c r="BB86" s="258"/>
      <c r="BC86" s="257"/>
      <c r="BD86" s="258" t="s">
        <v>57</v>
      </c>
      <c r="BE86" s="259"/>
      <c r="BF86" s="260" t="s">
        <v>67</v>
      </c>
      <c r="BG86" s="258"/>
      <c r="BH86" s="257"/>
      <c r="BI86" s="258" t="s">
        <v>57</v>
      </c>
      <c r="BJ86" s="259"/>
      <c r="BK86" s="260" t="s">
        <v>67</v>
      </c>
      <c r="BL86" s="258"/>
      <c r="BM86" s="257"/>
      <c r="BN86" s="258" t="s">
        <v>57</v>
      </c>
      <c r="BO86" s="259"/>
      <c r="BP86" s="260" t="s">
        <v>67</v>
      </c>
      <c r="BQ86" s="258"/>
      <c r="BR86" s="257"/>
      <c r="BS86" s="258" t="s">
        <v>57</v>
      </c>
      <c r="BT86" s="259"/>
      <c r="BU86" s="260" t="s">
        <v>67</v>
      </c>
      <c r="BV86" s="258"/>
      <c r="BW86" s="257"/>
    </row>
    <row r="87" spans="1:76" s="13" customFormat="1" ht="14.1" customHeight="1" x14ac:dyDescent="0.3">
      <c r="A87" s="78"/>
      <c r="B87" s="208" t="str">
        <f>IF(ISBLANK($Q$29),"",VLOOKUP($Q$29,instellingsgegevens!$A$2:$AX$495,12,FALSE))</f>
        <v/>
      </c>
      <c r="C87" s="209"/>
      <c r="D87" s="209"/>
      <c r="E87" s="209"/>
      <c r="F87" s="152"/>
      <c r="G87" s="153"/>
      <c r="H87" s="160">
        <f>F87*1.5</f>
        <v>0</v>
      </c>
      <c r="I87" s="161"/>
      <c r="J87" s="81">
        <f>F87</f>
        <v>0</v>
      </c>
      <c r="K87" s="152"/>
      <c r="L87" s="153"/>
      <c r="M87" s="160">
        <f>K87*1.5</f>
        <v>0</v>
      </c>
      <c r="N87" s="161"/>
      <c r="O87" s="81">
        <f>IF(ISBLANK($K$85),0,K87-F87)</f>
        <v>0</v>
      </c>
      <c r="P87" s="152"/>
      <c r="Q87" s="153"/>
      <c r="R87" s="160">
        <f>P87*1.5</f>
        <v>0</v>
      </c>
      <c r="S87" s="161"/>
      <c r="T87" s="81">
        <f>IF(ISBLANK($P$85),0,P87-K87)</f>
        <v>0</v>
      </c>
      <c r="U87" s="152"/>
      <c r="V87" s="153"/>
      <c r="W87" s="160">
        <f>U87*1.5</f>
        <v>0</v>
      </c>
      <c r="X87" s="161"/>
      <c r="Y87" s="81">
        <f>IF(ISBLANK($U$85),0,U87-P87)</f>
        <v>0</v>
      </c>
      <c r="Z87" s="152"/>
      <c r="AA87" s="153"/>
      <c r="AB87" s="160">
        <f>Z87*1.5</f>
        <v>0</v>
      </c>
      <c r="AC87" s="161"/>
      <c r="AD87" s="81">
        <f>IF(ISBLANK($Z$85),0,Z87-U87)</f>
        <v>0</v>
      </c>
      <c r="AE87" s="152"/>
      <c r="AF87" s="153"/>
      <c r="AG87" s="160">
        <f>AE87*1.5</f>
        <v>0</v>
      </c>
      <c r="AH87" s="161"/>
      <c r="AI87" s="81">
        <f>IF(ISBLANK($AE$85),0,AE87-Z87)</f>
        <v>0</v>
      </c>
      <c r="AJ87" s="152"/>
      <c r="AK87" s="153"/>
      <c r="AL87" s="160">
        <f>AJ87*1.5</f>
        <v>0</v>
      </c>
      <c r="AM87" s="161"/>
      <c r="AN87" s="81">
        <f>IF(ISBLANK($AJ$85),0,AJ87-AE87)</f>
        <v>0</v>
      </c>
      <c r="AO87" s="152"/>
      <c r="AP87" s="153"/>
      <c r="AQ87" s="160">
        <f>AO87*1.5</f>
        <v>0</v>
      </c>
      <c r="AR87" s="161"/>
      <c r="AS87" s="81">
        <f>IF(ISBLANK($AO$85),0,AO87-AJ87)</f>
        <v>0</v>
      </c>
      <c r="AT87" s="152"/>
      <c r="AU87" s="153"/>
      <c r="AV87" s="160">
        <f>AT87*1.5</f>
        <v>0</v>
      </c>
      <c r="AW87" s="161"/>
      <c r="AX87" s="81">
        <f>IF(ISBLANK($AT$85),0,AT87-AO87)</f>
        <v>0</v>
      </c>
      <c r="AY87" s="152"/>
      <c r="AZ87" s="153"/>
      <c r="BA87" s="160">
        <f>AY87*1.5</f>
        <v>0</v>
      </c>
      <c r="BB87" s="161"/>
      <c r="BC87" s="81">
        <f>IF(ISBLANK($AY$85),0,AY87-AT87)</f>
        <v>0</v>
      </c>
      <c r="BD87" s="152"/>
      <c r="BE87" s="153"/>
      <c r="BF87" s="160">
        <f>BD87*1.5</f>
        <v>0</v>
      </c>
      <c r="BG87" s="161"/>
      <c r="BH87" s="81">
        <f>IF(ISBLANK($BD$85),0,BD87-AY87)</f>
        <v>0</v>
      </c>
      <c r="BI87" s="152"/>
      <c r="BJ87" s="153"/>
      <c r="BK87" s="160">
        <f>BI87*1.5</f>
        <v>0</v>
      </c>
      <c r="BL87" s="161"/>
      <c r="BM87" s="81">
        <f>IF(ISBLANK($BI$85),0,BI87-BD87)</f>
        <v>0</v>
      </c>
      <c r="BN87" s="152"/>
      <c r="BO87" s="153"/>
      <c r="BP87" s="160">
        <f>BN87*1.5</f>
        <v>0</v>
      </c>
      <c r="BQ87" s="161"/>
      <c r="BR87" s="81">
        <f>IF(ISBLANK($BN$85),0,BN87-BI87)</f>
        <v>0</v>
      </c>
      <c r="BS87" s="152"/>
      <c r="BT87" s="153"/>
      <c r="BU87" s="160">
        <f>BS87*1.5</f>
        <v>0</v>
      </c>
      <c r="BV87" s="161"/>
      <c r="BW87" s="81">
        <f>IF(ISBLANK($BS$85),0,BS87-BN87)</f>
        <v>0</v>
      </c>
    </row>
    <row r="88" spans="1:76" s="13" customFormat="1" ht="14.1" customHeight="1" x14ac:dyDescent="0.3">
      <c r="A88" s="78"/>
      <c r="B88" s="208" t="str">
        <f>IF(ISBLANK($Q$29),"",VLOOKUP($Q$29,instellingsgegevens!$A$2:$AX$495,13,FALSE))</f>
        <v/>
      </c>
      <c r="C88" s="209"/>
      <c r="D88" s="209"/>
      <c r="E88" s="209"/>
      <c r="F88" s="152"/>
      <c r="G88" s="153"/>
      <c r="H88" s="162">
        <f t="shared" ref="H88:H104" si="0">F88*1.5</f>
        <v>0</v>
      </c>
      <c r="I88" s="163"/>
      <c r="J88" s="81">
        <f t="shared" ref="J88:J121" si="1">F88</f>
        <v>0</v>
      </c>
      <c r="K88" s="152"/>
      <c r="L88" s="153"/>
      <c r="M88" s="160">
        <f t="shared" ref="M88:M121" si="2">K88*1.5</f>
        <v>0</v>
      </c>
      <c r="N88" s="161"/>
      <c r="O88" s="81">
        <f t="shared" ref="O88:O121" si="3">IF(ISBLANK($K$85),0,K88-F88)</f>
        <v>0</v>
      </c>
      <c r="P88" s="152"/>
      <c r="Q88" s="153"/>
      <c r="R88" s="160">
        <f t="shared" ref="R88:R121" si="4">P88*1.5</f>
        <v>0</v>
      </c>
      <c r="S88" s="161"/>
      <c r="T88" s="81">
        <f t="shared" ref="T88:T121" si="5">IF(ISBLANK($P$85),0,P88-K88)</f>
        <v>0</v>
      </c>
      <c r="U88" s="152"/>
      <c r="V88" s="153"/>
      <c r="W88" s="160">
        <f t="shared" ref="W88:W121" si="6">U88*1.5</f>
        <v>0</v>
      </c>
      <c r="X88" s="161"/>
      <c r="Y88" s="81">
        <f t="shared" ref="Y88:Y121" si="7">IF(ISBLANK($U$85),0,U88-P88)</f>
        <v>0</v>
      </c>
      <c r="Z88" s="152"/>
      <c r="AA88" s="153"/>
      <c r="AB88" s="160">
        <f t="shared" ref="AB88:AB121" si="8">Z88*1.5</f>
        <v>0</v>
      </c>
      <c r="AC88" s="161"/>
      <c r="AD88" s="81">
        <f t="shared" ref="AD88:AD121" si="9">IF(ISBLANK($Z$85),0,Z88-U88)</f>
        <v>0</v>
      </c>
      <c r="AE88" s="152"/>
      <c r="AF88" s="153"/>
      <c r="AG88" s="160">
        <f t="shared" ref="AG88:AG121" si="10">AE88*1.5</f>
        <v>0</v>
      </c>
      <c r="AH88" s="161"/>
      <c r="AI88" s="81">
        <f t="shared" ref="AI88:AI121" si="11">IF(ISBLANK($AE$85),0,AE88-Z88)</f>
        <v>0</v>
      </c>
      <c r="AJ88" s="152"/>
      <c r="AK88" s="153"/>
      <c r="AL88" s="160">
        <f t="shared" ref="AL88:AL121" si="12">AJ88*1.5</f>
        <v>0</v>
      </c>
      <c r="AM88" s="161"/>
      <c r="AN88" s="81">
        <f t="shared" ref="AN88:AN121" si="13">IF(ISBLANK($AJ$85),0,AJ88-AE88)</f>
        <v>0</v>
      </c>
      <c r="AO88" s="152"/>
      <c r="AP88" s="153"/>
      <c r="AQ88" s="160">
        <f t="shared" ref="AQ88:AQ121" si="14">AO88*1.5</f>
        <v>0</v>
      </c>
      <c r="AR88" s="161"/>
      <c r="AS88" s="81">
        <f t="shared" ref="AS88:AS121" si="15">IF(ISBLANK($AO$85),0,AO88-AJ88)</f>
        <v>0</v>
      </c>
      <c r="AT88" s="152"/>
      <c r="AU88" s="153"/>
      <c r="AV88" s="160">
        <f t="shared" ref="AV88:AV128" si="16">AT88*1.5</f>
        <v>0</v>
      </c>
      <c r="AW88" s="161"/>
      <c r="AX88" s="81">
        <f t="shared" ref="AX88:AX128" si="17">IF(ISBLANK($AT$85),0,AT88-AO88)</f>
        <v>0</v>
      </c>
      <c r="AY88" s="152"/>
      <c r="AZ88" s="153"/>
      <c r="BA88" s="160">
        <f t="shared" ref="BA88:BA128" si="18">AY88*1.5</f>
        <v>0</v>
      </c>
      <c r="BB88" s="161"/>
      <c r="BC88" s="81">
        <f t="shared" ref="BC88:BC128" si="19">IF(ISBLANK($AY$85),0,AY88-AT88)</f>
        <v>0</v>
      </c>
      <c r="BD88" s="152"/>
      <c r="BE88" s="153"/>
      <c r="BF88" s="160">
        <f t="shared" ref="BF88:BF128" si="20">BD88*1.5</f>
        <v>0</v>
      </c>
      <c r="BG88" s="161"/>
      <c r="BH88" s="81">
        <f t="shared" ref="BH88:BH128" si="21">IF(ISBLANK($BD$85),0,BD88-AY88)</f>
        <v>0</v>
      </c>
      <c r="BI88" s="152"/>
      <c r="BJ88" s="153"/>
      <c r="BK88" s="160">
        <f t="shared" ref="BK88:BK128" si="22">BI88*1.5</f>
        <v>0</v>
      </c>
      <c r="BL88" s="161"/>
      <c r="BM88" s="81">
        <f t="shared" ref="BM88:BM128" si="23">IF(ISBLANK($BI$85),0,BI88-BD88)</f>
        <v>0</v>
      </c>
      <c r="BN88" s="152"/>
      <c r="BO88" s="153"/>
      <c r="BP88" s="160">
        <f t="shared" ref="BP88:BP128" si="24">BN88*1.5</f>
        <v>0</v>
      </c>
      <c r="BQ88" s="161"/>
      <c r="BR88" s="81">
        <f t="shared" ref="BR88:BR128" si="25">IF(ISBLANK($BN$85),0,BN88-BI88)</f>
        <v>0</v>
      </c>
      <c r="BS88" s="152"/>
      <c r="BT88" s="153"/>
      <c r="BU88" s="160">
        <f t="shared" ref="BU88:BU128" si="26">BS88*1.5</f>
        <v>0</v>
      </c>
      <c r="BV88" s="161"/>
      <c r="BW88" s="81">
        <f t="shared" ref="BW88:BW128" si="27">IF(ISBLANK($BS$85),0,BS88-BN88)</f>
        <v>0</v>
      </c>
    </row>
    <row r="89" spans="1:76" s="13" customFormat="1" ht="14.1" customHeight="1" x14ac:dyDescent="0.3">
      <c r="A89" s="78"/>
      <c r="B89" s="208" t="str">
        <f>IF(ISBLANK($Q$29),"",VLOOKUP($Q$29,instellingsgegevens!$A$2:$AX$495,14,FALSE))</f>
        <v/>
      </c>
      <c r="C89" s="209"/>
      <c r="D89" s="209"/>
      <c r="E89" s="210"/>
      <c r="F89" s="152"/>
      <c r="G89" s="153"/>
      <c r="H89" s="162">
        <f t="shared" si="0"/>
        <v>0</v>
      </c>
      <c r="I89" s="163"/>
      <c r="J89" s="81">
        <f t="shared" si="1"/>
        <v>0</v>
      </c>
      <c r="K89" s="152"/>
      <c r="L89" s="153"/>
      <c r="M89" s="160">
        <f t="shared" si="2"/>
        <v>0</v>
      </c>
      <c r="N89" s="161"/>
      <c r="O89" s="81">
        <f t="shared" si="3"/>
        <v>0</v>
      </c>
      <c r="P89" s="152"/>
      <c r="Q89" s="153"/>
      <c r="R89" s="160">
        <f t="shared" si="4"/>
        <v>0</v>
      </c>
      <c r="S89" s="161"/>
      <c r="T89" s="81">
        <f t="shared" si="5"/>
        <v>0</v>
      </c>
      <c r="U89" s="152"/>
      <c r="V89" s="153"/>
      <c r="W89" s="160">
        <f t="shared" si="6"/>
        <v>0</v>
      </c>
      <c r="X89" s="161"/>
      <c r="Y89" s="81">
        <f t="shared" si="7"/>
        <v>0</v>
      </c>
      <c r="Z89" s="152"/>
      <c r="AA89" s="153"/>
      <c r="AB89" s="160">
        <f t="shared" si="8"/>
        <v>0</v>
      </c>
      <c r="AC89" s="161"/>
      <c r="AD89" s="81">
        <f t="shared" si="9"/>
        <v>0</v>
      </c>
      <c r="AE89" s="152"/>
      <c r="AF89" s="153"/>
      <c r="AG89" s="160">
        <f t="shared" si="10"/>
        <v>0</v>
      </c>
      <c r="AH89" s="161"/>
      <c r="AI89" s="81">
        <f t="shared" si="11"/>
        <v>0</v>
      </c>
      <c r="AJ89" s="152"/>
      <c r="AK89" s="153"/>
      <c r="AL89" s="160">
        <f t="shared" si="12"/>
        <v>0</v>
      </c>
      <c r="AM89" s="161"/>
      <c r="AN89" s="81">
        <f t="shared" si="13"/>
        <v>0</v>
      </c>
      <c r="AO89" s="152"/>
      <c r="AP89" s="153"/>
      <c r="AQ89" s="160">
        <f t="shared" si="14"/>
        <v>0</v>
      </c>
      <c r="AR89" s="161"/>
      <c r="AS89" s="81">
        <f t="shared" si="15"/>
        <v>0</v>
      </c>
      <c r="AT89" s="152"/>
      <c r="AU89" s="153"/>
      <c r="AV89" s="160">
        <f t="shared" si="16"/>
        <v>0</v>
      </c>
      <c r="AW89" s="161"/>
      <c r="AX89" s="81">
        <f t="shared" si="17"/>
        <v>0</v>
      </c>
      <c r="AY89" s="152"/>
      <c r="AZ89" s="153"/>
      <c r="BA89" s="160">
        <f t="shared" si="18"/>
        <v>0</v>
      </c>
      <c r="BB89" s="161"/>
      <c r="BC89" s="81">
        <f t="shared" si="19"/>
        <v>0</v>
      </c>
      <c r="BD89" s="152"/>
      <c r="BE89" s="153"/>
      <c r="BF89" s="160">
        <f t="shared" si="20"/>
        <v>0</v>
      </c>
      <c r="BG89" s="161"/>
      <c r="BH89" s="81">
        <f t="shared" si="21"/>
        <v>0</v>
      </c>
      <c r="BI89" s="152"/>
      <c r="BJ89" s="153"/>
      <c r="BK89" s="160">
        <f t="shared" si="22"/>
        <v>0</v>
      </c>
      <c r="BL89" s="161"/>
      <c r="BM89" s="81">
        <f t="shared" si="23"/>
        <v>0</v>
      </c>
      <c r="BN89" s="152"/>
      <c r="BO89" s="153"/>
      <c r="BP89" s="160">
        <f t="shared" si="24"/>
        <v>0</v>
      </c>
      <c r="BQ89" s="161"/>
      <c r="BR89" s="81">
        <f t="shared" si="25"/>
        <v>0</v>
      </c>
      <c r="BS89" s="152"/>
      <c r="BT89" s="153"/>
      <c r="BU89" s="160">
        <f t="shared" si="26"/>
        <v>0</v>
      </c>
      <c r="BV89" s="161"/>
      <c r="BW89" s="81">
        <f t="shared" si="27"/>
        <v>0</v>
      </c>
    </row>
    <row r="90" spans="1:76" s="13" customFormat="1" ht="14.1" customHeight="1" x14ac:dyDescent="0.3">
      <c r="A90" s="78"/>
      <c r="B90" s="208" t="str">
        <f>IF(ISBLANK($Q$29),"",VLOOKUP($Q$29,instellingsgegevens!$A$2:$AX$495,15,FALSE))</f>
        <v/>
      </c>
      <c r="C90" s="209"/>
      <c r="D90" s="209"/>
      <c r="E90" s="210"/>
      <c r="F90" s="152"/>
      <c r="G90" s="153"/>
      <c r="H90" s="162">
        <f t="shared" si="0"/>
        <v>0</v>
      </c>
      <c r="I90" s="163"/>
      <c r="J90" s="81">
        <f t="shared" si="1"/>
        <v>0</v>
      </c>
      <c r="K90" s="152"/>
      <c r="L90" s="153"/>
      <c r="M90" s="160">
        <f t="shared" si="2"/>
        <v>0</v>
      </c>
      <c r="N90" s="161"/>
      <c r="O90" s="81">
        <f t="shared" si="3"/>
        <v>0</v>
      </c>
      <c r="P90" s="152"/>
      <c r="Q90" s="153"/>
      <c r="R90" s="160">
        <f t="shared" si="4"/>
        <v>0</v>
      </c>
      <c r="S90" s="161"/>
      <c r="T90" s="81">
        <f t="shared" si="5"/>
        <v>0</v>
      </c>
      <c r="U90" s="152"/>
      <c r="V90" s="153"/>
      <c r="W90" s="160">
        <f t="shared" si="6"/>
        <v>0</v>
      </c>
      <c r="X90" s="161"/>
      <c r="Y90" s="81">
        <f t="shared" si="7"/>
        <v>0</v>
      </c>
      <c r="Z90" s="152"/>
      <c r="AA90" s="153"/>
      <c r="AB90" s="160">
        <f t="shared" si="8"/>
        <v>0</v>
      </c>
      <c r="AC90" s="161"/>
      <c r="AD90" s="81">
        <f t="shared" si="9"/>
        <v>0</v>
      </c>
      <c r="AE90" s="152"/>
      <c r="AF90" s="153"/>
      <c r="AG90" s="160">
        <f t="shared" si="10"/>
        <v>0</v>
      </c>
      <c r="AH90" s="161"/>
      <c r="AI90" s="81">
        <f t="shared" si="11"/>
        <v>0</v>
      </c>
      <c r="AJ90" s="152"/>
      <c r="AK90" s="153"/>
      <c r="AL90" s="160">
        <f t="shared" si="12"/>
        <v>0</v>
      </c>
      <c r="AM90" s="161"/>
      <c r="AN90" s="81">
        <f t="shared" si="13"/>
        <v>0</v>
      </c>
      <c r="AO90" s="152"/>
      <c r="AP90" s="153"/>
      <c r="AQ90" s="160">
        <f t="shared" si="14"/>
        <v>0</v>
      </c>
      <c r="AR90" s="161"/>
      <c r="AS90" s="81">
        <f t="shared" si="15"/>
        <v>0</v>
      </c>
      <c r="AT90" s="152"/>
      <c r="AU90" s="153"/>
      <c r="AV90" s="160">
        <f t="shared" si="16"/>
        <v>0</v>
      </c>
      <c r="AW90" s="161"/>
      <c r="AX90" s="81">
        <f t="shared" si="17"/>
        <v>0</v>
      </c>
      <c r="AY90" s="152"/>
      <c r="AZ90" s="153"/>
      <c r="BA90" s="160">
        <f t="shared" si="18"/>
        <v>0</v>
      </c>
      <c r="BB90" s="161"/>
      <c r="BC90" s="81">
        <f t="shared" si="19"/>
        <v>0</v>
      </c>
      <c r="BD90" s="152"/>
      <c r="BE90" s="153"/>
      <c r="BF90" s="160">
        <f t="shared" si="20"/>
        <v>0</v>
      </c>
      <c r="BG90" s="161"/>
      <c r="BH90" s="81">
        <f t="shared" si="21"/>
        <v>0</v>
      </c>
      <c r="BI90" s="152"/>
      <c r="BJ90" s="153"/>
      <c r="BK90" s="160">
        <f t="shared" si="22"/>
        <v>0</v>
      </c>
      <c r="BL90" s="161"/>
      <c r="BM90" s="81">
        <f t="shared" si="23"/>
        <v>0</v>
      </c>
      <c r="BN90" s="152"/>
      <c r="BO90" s="153"/>
      <c r="BP90" s="160">
        <f t="shared" si="24"/>
        <v>0</v>
      </c>
      <c r="BQ90" s="161"/>
      <c r="BR90" s="81">
        <f t="shared" si="25"/>
        <v>0</v>
      </c>
      <c r="BS90" s="152"/>
      <c r="BT90" s="153"/>
      <c r="BU90" s="160">
        <f t="shared" si="26"/>
        <v>0</v>
      </c>
      <c r="BV90" s="161"/>
      <c r="BW90" s="81">
        <f t="shared" si="27"/>
        <v>0</v>
      </c>
    </row>
    <row r="91" spans="1:76" s="13" customFormat="1" ht="14.1" customHeight="1" x14ac:dyDescent="0.3">
      <c r="A91" s="78"/>
      <c r="B91" s="208" t="str">
        <f>IF(ISBLANK($Q$29),"",VLOOKUP($Q$29,instellingsgegevens!$A$2:$AX$495,16,FALSE))</f>
        <v/>
      </c>
      <c r="C91" s="209"/>
      <c r="D91" s="209"/>
      <c r="E91" s="210"/>
      <c r="F91" s="152"/>
      <c r="G91" s="153"/>
      <c r="H91" s="162">
        <f t="shared" si="0"/>
        <v>0</v>
      </c>
      <c r="I91" s="163"/>
      <c r="J91" s="81">
        <f t="shared" si="1"/>
        <v>0</v>
      </c>
      <c r="K91" s="152"/>
      <c r="L91" s="153"/>
      <c r="M91" s="160">
        <f t="shared" si="2"/>
        <v>0</v>
      </c>
      <c r="N91" s="161"/>
      <c r="O91" s="81">
        <f t="shared" si="3"/>
        <v>0</v>
      </c>
      <c r="P91" s="152"/>
      <c r="Q91" s="153"/>
      <c r="R91" s="160">
        <f t="shared" si="4"/>
        <v>0</v>
      </c>
      <c r="S91" s="161"/>
      <c r="T91" s="81">
        <f t="shared" si="5"/>
        <v>0</v>
      </c>
      <c r="U91" s="152"/>
      <c r="V91" s="153"/>
      <c r="W91" s="160">
        <f t="shared" si="6"/>
        <v>0</v>
      </c>
      <c r="X91" s="161"/>
      <c r="Y91" s="81">
        <f t="shared" si="7"/>
        <v>0</v>
      </c>
      <c r="Z91" s="152"/>
      <c r="AA91" s="153"/>
      <c r="AB91" s="160">
        <f t="shared" si="8"/>
        <v>0</v>
      </c>
      <c r="AC91" s="161"/>
      <c r="AD91" s="81">
        <f t="shared" si="9"/>
        <v>0</v>
      </c>
      <c r="AE91" s="152"/>
      <c r="AF91" s="153"/>
      <c r="AG91" s="160">
        <f t="shared" si="10"/>
        <v>0</v>
      </c>
      <c r="AH91" s="161"/>
      <c r="AI91" s="81">
        <f t="shared" si="11"/>
        <v>0</v>
      </c>
      <c r="AJ91" s="152"/>
      <c r="AK91" s="153"/>
      <c r="AL91" s="160">
        <f t="shared" si="12"/>
        <v>0</v>
      </c>
      <c r="AM91" s="161"/>
      <c r="AN91" s="81">
        <f t="shared" si="13"/>
        <v>0</v>
      </c>
      <c r="AO91" s="152"/>
      <c r="AP91" s="153"/>
      <c r="AQ91" s="160">
        <f t="shared" si="14"/>
        <v>0</v>
      </c>
      <c r="AR91" s="161"/>
      <c r="AS91" s="81">
        <f t="shared" si="15"/>
        <v>0</v>
      </c>
      <c r="AT91" s="152"/>
      <c r="AU91" s="153"/>
      <c r="AV91" s="160">
        <f t="shared" si="16"/>
        <v>0</v>
      </c>
      <c r="AW91" s="161"/>
      <c r="AX91" s="81">
        <f t="shared" si="17"/>
        <v>0</v>
      </c>
      <c r="AY91" s="152"/>
      <c r="AZ91" s="153"/>
      <c r="BA91" s="160">
        <f t="shared" si="18"/>
        <v>0</v>
      </c>
      <c r="BB91" s="161"/>
      <c r="BC91" s="81">
        <f t="shared" si="19"/>
        <v>0</v>
      </c>
      <c r="BD91" s="152"/>
      <c r="BE91" s="153"/>
      <c r="BF91" s="160">
        <f t="shared" si="20"/>
        <v>0</v>
      </c>
      <c r="BG91" s="161"/>
      <c r="BH91" s="81">
        <f t="shared" si="21"/>
        <v>0</v>
      </c>
      <c r="BI91" s="152"/>
      <c r="BJ91" s="153"/>
      <c r="BK91" s="160">
        <f t="shared" si="22"/>
        <v>0</v>
      </c>
      <c r="BL91" s="161"/>
      <c r="BM91" s="81">
        <f t="shared" si="23"/>
        <v>0</v>
      </c>
      <c r="BN91" s="152"/>
      <c r="BO91" s="153"/>
      <c r="BP91" s="160">
        <f t="shared" si="24"/>
        <v>0</v>
      </c>
      <c r="BQ91" s="161"/>
      <c r="BR91" s="81">
        <f t="shared" si="25"/>
        <v>0</v>
      </c>
      <c r="BS91" s="152"/>
      <c r="BT91" s="153"/>
      <c r="BU91" s="160">
        <f t="shared" si="26"/>
        <v>0</v>
      </c>
      <c r="BV91" s="161"/>
      <c r="BW91" s="81">
        <f t="shared" si="27"/>
        <v>0</v>
      </c>
    </row>
    <row r="92" spans="1:76" s="13" customFormat="1" ht="14.1" customHeight="1" x14ac:dyDescent="0.3">
      <c r="A92" s="78"/>
      <c r="B92" s="208" t="str">
        <f>IF(ISBLANK($Q$29),"",VLOOKUP($Q$29,instellingsgegevens!$A$2:$AX$495,17,FALSE))</f>
        <v/>
      </c>
      <c r="C92" s="209"/>
      <c r="D92" s="209"/>
      <c r="E92" s="210"/>
      <c r="F92" s="152"/>
      <c r="G92" s="153"/>
      <c r="H92" s="162">
        <f t="shared" si="0"/>
        <v>0</v>
      </c>
      <c r="I92" s="163"/>
      <c r="J92" s="81">
        <f t="shared" si="1"/>
        <v>0</v>
      </c>
      <c r="K92" s="152"/>
      <c r="L92" s="153"/>
      <c r="M92" s="160">
        <f t="shared" si="2"/>
        <v>0</v>
      </c>
      <c r="N92" s="161"/>
      <c r="O92" s="81">
        <f t="shared" si="3"/>
        <v>0</v>
      </c>
      <c r="P92" s="152"/>
      <c r="Q92" s="153"/>
      <c r="R92" s="160">
        <f t="shared" si="4"/>
        <v>0</v>
      </c>
      <c r="S92" s="161"/>
      <c r="T92" s="81">
        <f t="shared" si="5"/>
        <v>0</v>
      </c>
      <c r="U92" s="152"/>
      <c r="V92" s="153"/>
      <c r="W92" s="160">
        <f t="shared" si="6"/>
        <v>0</v>
      </c>
      <c r="X92" s="161"/>
      <c r="Y92" s="81">
        <f t="shared" si="7"/>
        <v>0</v>
      </c>
      <c r="Z92" s="152"/>
      <c r="AA92" s="153"/>
      <c r="AB92" s="160">
        <f t="shared" si="8"/>
        <v>0</v>
      </c>
      <c r="AC92" s="161"/>
      <c r="AD92" s="81">
        <f t="shared" si="9"/>
        <v>0</v>
      </c>
      <c r="AE92" s="152"/>
      <c r="AF92" s="153"/>
      <c r="AG92" s="160">
        <f t="shared" si="10"/>
        <v>0</v>
      </c>
      <c r="AH92" s="161"/>
      <c r="AI92" s="81">
        <f t="shared" si="11"/>
        <v>0</v>
      </c>
      <c r="AJ92" s="152"/>
      <c r="AK92" s="153"/>
      <c r="AL92" s="160">
        <f t="shared" si="12"/>
        <v>0</v>
      </c>
      <c r="AM92" s="161"/>
      <c r="AN92" s="81">
        <f t="shared" si="13"/>
        <v>0</v>
      </c>
      <c r="AO92" s="152"/>
      <c r="AP92" s="153"/>
      <c r="AQ92" s="160">
        <f t="shared" si="14"/>
        <v>0</v>
      </c>
      <c r="AR92" s="161"/>
      <c r="AS92" s="81">
        <f t="shared" si="15"/>
        <v>0</v>
      </c>
      <c r="AT92" s="152"/>
      <c r="AU92" s="153"/>
      <c r="AV92" s="160">
        <f t="shared" si="16"/>
        <v>0</v>
      </c>
      <c r="AW92" s="161"/>
      <c r="AX92" s="81">
        <f t="shared" si="17"/>
        <v>0</v>
      </c>
      <c r="AY92" s="152"/>
      <c r="AZ92" s="153"/>
      <c r="BA92" s="160">
        <f t="shared" si="18"/>
        <v>0</v>
      </c>
      <c r="BB92" s="161"/>
      <c r="BC92" s="81">
        <f t="shared" si="19"/>
        <v>0</v>
      </c>
      <c r="BD92" s="152"/>
      <c r="BE92" s="153"/>
      <c r="BF92" s="160">
        <f t="shared" si="20"/>
        <v>0</v>
      </c>
      <c r="BG92" s="161"/>
      <c r="BH92" s="81">
        <f t="shared" si="21"/>
        <v>0</v>
      </c>
      <c r="BI92" s="152"/>
      <c r="BJ92" s="153"/>
      <c r="BK92" s="160">
        <f t="shared" si="22"/>
        <v>0</v>
      </c>
      <c r="BL92" s="161"/>
      <c r="BM92" s="81">
        <f t="shared" si="23"/>
        <v>0</v>
      </c>
      <c r="BN92" s="152"/>
      <c r="BO92" s="153"/>
      <c r="BP92" s="160">
        <f t="shared" si="24"/>
        <v>0</v>
      </c>
      <c r="BQ92" s="161"/>
      <c r="BR92" s="81">
        <f t="shared" si="25"/>
        <v>0</v>
      </c>
      <c r="BS92" s="152"/>
      <c r="BT92" s="153"/>
      <c r="BU92" s="160">
        <f t="shared" si="26"/>
        <v>0</v>
      </c>
      <c r="BV92" s="161"/>
      <c r="BW92" s="81">
        <f t="shared" si="27"/>
        <v>0</v>
      </c>
    </row>
    <row r="93" spans="1:76" s="13" customFormat="1" ht="14.1" customHeight="1" x14ac:dyDescent="0.3">
      <c r="A93" s="78"/>
      <c r="B93" s="208" t="str">
        <f>IF(ISBLANK($Q$29),"",VLOOKUP($Q$29,instellingsgegevens!$A$2:$AX$495,18,FALSE))</f>
        <v/>
      </c>
      <c r="C93" s="209"/>
      <c r="D93" s="209"/>
      <c r="E93" s="210"/>
      <c r="F93" s="152"/>
      <c r="G93" s="153"/>
      <c r="H93" s="162">
        <f t="shared" si="0"/>
        <v>0</v>
      </c>
      <c r="I93" s="163"/>
      <c r="J93" s="81">
        <f t="shared" si="1"/>
        <v>0</v>
      </c>
      <c r="K93" s="152"/>
      <c r="L93" s="153"/>
      <c r="M93" s="160">
        <f t="shared" si="2"/>
        <v>0</v>
      </c>
      <c r="N93" s="161"/>
      <c r="O93" s="81">
        <f t="shared" si="3"/>
        <v>0</v>
      </c>
      <c r="P93" s="152"/>
      <c r="Q93" s="153"/>
      <c r="R93" s="160">
        <f t="shared" si="4"/>
        <v>0</v>
      </c>
      <c r="S93" s="161"/>
      <c r="T93" s="81">
        <f t="shared" si="5"/>
        <v>0</v>
      </c>
      <c r="U93" s="152"/>
      <c r="V93" s="153"/>
      <c r="W93" s="160">
        <f t="shared" si="6"/>
        <v>0</v>
      </c>
      <c r="X93" s="161"/>
      <c r="Y93" s="81">
        <f t="shared" si="7"/>
        <v>0</v>
      </c>
      <c r="Z93" s="152"/>
      <c r="AA93" s="153"/>
      <c r="AB93" s="160">
        <f t="shared" si="8"/>
        <v>0</v>
      </c>
      <c r="AC93" s="161"/>
      <c r="AD93" s="81">
        <f t="shared" si="9"/>
        <v>0</v>
      </c>
      <c r="AE93" s="152"/>
      <c r="AF93" s="153"/>
      <c r="AG93" s="160">
        <f t="shared" si="10"/>
        <v>0</v>
      </c>
      <c r="AH93" s="161"/>
      <c r="AI93" s="81">
        <f t="shared" si="11"/>
        <v>0</v>
      </c>
      <c r="AJ93" s="152"/>
      <c r="AK93" s="153"/>
      <c r="AL93" s="160">
        <f t="shared" si="12"/>
        <v>0</v>
      </c>
      <c r="AM93" s="161"/>
      <c r="AN93" s="81">
        <f t="shared" si="13"/>
        <v>0</v>
      </c>
      <c r="AO93" s="152"/>
      <c r="AP93" s="153"/>
      <c r="AQ93" s="160">
        <f t="shared" si="14"/>
        <v>0</v>
      </c>
      <c r="AR93" s="161"/>
      <c r="AS93" s="81">
        <f t="shared" si="15"/>
        <v>0</v>
      </c>
      <c r="AT93" s="152"/>
      <c r="AU93" s="153"/>
      <c r="AV93" s="160">
        <f t="shared" si="16"/>
        <v>0</v>
      </c>
      <c r="AW93" s="161"/>
      <c r="AX93" s="81">
        <f t="shared" si="17"/>
        <v>0</v>
      </c>
      <c r="AY93" s="152"/>
      <c r="AZ93" s="153"/>
      <c r="BA93" s="160">
        <f t="shared" si="18"/>
        <v>0</v>
      </c>
      <c r="BB93" s="161"/>
      <c r="BC93" s="81">
        <f t="shared" si="19"/>
        <v>0</v>
      </c>
      <c r="BD93" s="152"/>
      <c r="BE93" s="153"/>
      <c r="BF93" s="160">
        <f t="shared" si="20"/>
        <v>0</v>
      </c>
      <c r="BG93" s="161"/>
      <c r="BH93" s="81">
        <f t="shared" si="21"/>
        <v>0</v>
      </c>
      <c r="BI93" s="152"/>
      <c r="BJ93" s="153"/>
      <c r="BK93" s="160">
        <f t="shared" si="22"/>
        <v>0</v>
      </c>
      <c r="BL93" s="161"/>
      <c r="BM93" s="81">
        <f t="shared" si="23"/>
        <v>0</v>
      </c>
      <c r="BN93" s="152"/>
      <c r="BO93" s="153"/>
      <c r="BP93" s="160">
        <f t="shared" si="24"/>
        <v>0</v>
      </c>
      <c r="BQ93" s="161"/>
      <c r="BR93" s="81">
        <f t="shared" si="25"/>
        <v>0</v>
      </c>
      <c r="BS93" s="152"/>
      <c r="BT93" s="153"/>
      <c r="BU93" s="160">
        <f t="shared" si="26"/>
        <v>0</v>
      </c>
      <c r="BV93" s="161"/>
      <c r="BW93" s="81">
        <f t="shared" si="27"/>
        <v>0</v>
      </c>
    </row>
    <row r="94" spans="1:76" s="13" customFormat="1" ht="14.1" customHeight="1" x14ac:dyDescent="0.3">
      <c r="A94" s="78"/>
      <c r="B94" s="208" t="str">
        <f>IF(ISBLANK($Q$29),"",VLOOKUP($Q$29,instellingsgegevens!$A$2:$AX$495,19,FALSE))</f>
        <v/>
      </c>
      <c r="C94" s="209"/>
      <c r="D94" s="209"/>
      <c r="E94" s="210"/>
      <c r="F94" s="152"/>
      <c r="G94" s="153"/>
      <c r="H94" s="162">
        <f t="shared" si="0"/>
        <v>0</v>
      </c>
      <c r="I94" s="163"/>
      <c r="J94" s="81">
        <f t="shared" si="1"/>
        <v>0</v>
      </c>
      <c r="K94" s="152"/>
      <c r="L94" s="153"/>
      <c r="M94" s="160">
        <f t="shared" si="2"/>
        <v>0</v>
      </c>
      <c r="N94" s="161"/>
      <c r="O94" s="81">
        <f t="shared" si="3"/>
        <v>0</v>
      </c>
      <c r="P94" s="152"/>
      <c r="Q94" s="153"/>
      <c r="R94" s="160">
        <f t="shared" si="4"/>
        <v>0</v>
      </c>
      <c r="S94" s="161"/>
      <c r="T94" s="81">
        <f t="shared" si="5"/>
        <v>0</v>
      </c>
      <c r="U94" s="152"/>
      <c r="V94" s="153"/>
      <c r="W94" s="160">
        <f t="shared" si="6"/>
        <v>0</v>
      </c>
      <c r="X94" s="161"/>
      <c r="Y94" s="81">
        <f t="shared" si="7"/>
        <v>0</v>
      </c>
      <c r="Z94" s="152"/>
      <c r="AA94" s="153"/>
      <c r="AB94" s="160">
        <f t="shared" si="8"/>
        <v>0</v>
      </c>
      <c r="AC94" s="161"/>
      <c r="AD94" s="81">
        <f t="shared" si="9"/>
        <v>0</v>
      </c>
      <c r="AE94" s="152"/>
      <c r="AF94" s="153"/>
      <c r="AG94" s="160">
        <f t="shared" si="10"/>
        <v>0</v>
      </c>
      <c r="AH94" s="161"/>
      <c r="AI94" s="81">
        <f t="shared" si="11"/>
        <v>0</v>
      </c>
      <c r="AJ94" s="152"/>
      <c r="AK94" s="153"/>
      <c r="AL94" s="160">
        <f t="shared" si="12"/>
        <v>0</v>
      </c>
      <c r="AM94" s="161"/>
      <c r="AN94" s="81">
        <f t="shared" si="13"/>
        <v>0</v>
      </c>
      <c r="AO94" s="152"/>
      <c r="AP94" s="153"/>
      <c r="AQ94" s="160">
        <f t="shared" si="14"/>
        <v>0</v>
      </c>
      <c r="AR94" s="161"/>
      <c r="AS94" s="81">
        <f t="shared" si="15"/>
        <v>0</v>
      </c>
      <c r="AT94" s="152"/>
      <c r="AU94" s="153"/>
      <c r="AV94" s="160">
        <f t="shared" si="16"/>
        <v>0</v>
      </c>
      <c r="AW94" s="161"/>
      <c r="AX94" s="81">
        <f t="shared" si="17"/>
        <v>0</v>
      </c>
      <c r="AY94" s="152"/>
      <c r="AZ94" s="153"/>
      <c r="BA94" s="160">
        <f t="shared" si="18"/>
        <v>0</v>
      </c>
      <c r="BB94" s="161"/>
      <c r="BC94" s="81">
        <f t="shared" si="19"/>
        <v>0</v>
      </c>
      <c r="BD94" s="152"/>
      <c r="BE94" s="153"/>
      <c r="BF94" s="160">
        <f t="shared" si="20"/>
        <v>0</v>
      </c>
      <c r="BG94" s="161"/>
      <c r="BH94" s="81">
        <f t="shared" si="21"/>
        <v>0</v>
      </c>
      <c r="BI94" s="152"/>
      <c r="BJ94" s="153"/>
      <c r="BK94" s="160">
        <f t="shared" si="22"/>
        <v>0</v>
      </c>
      <c r="BL94" s="161"/>
      <c r="BM94" s="81">
        <f t="shared" si="23"/>
        <v>0</v>
      </c>
      <c r="BN94" s="152"/>
      <c r="BO94" s="153"/>
      <c r="BP94" s="160">
        <f t="shared" si="24"/>
        <v>0</v>
      </c>
      <c r="BQ94" s="161"/>
      <c r="BR94" s="81">
        <f t="shared" si="25"/>
        <v>0</v>
      </c>
      <c r="BS94" s="152"/>
      <c r="BT94" s="153"/>
      <c r="BU94" s="160">
        <f t="shared" si="26"/>
        <v>0</v>
      </c>
      <c r="BV94" s="161"/>
      <c r="BW94" s="81">
        <f t="shared" si="27"/>
        <v>0</v>
      </c>
    </row>
    <row r="95" spans="1:76" s="13" customFormat="1" ht="14.1" customHeight="1" x14ac:dyDescent="0.3">
      <c r="A95" s="78"/>
      <c r="B95" s="208" t="str">
        <f>IF(ISBLANK($Q$29),"",VLOOKUP($Q$29,instellingsgegevens!$A$2:$AX$495,20,FALSE))</f>
        <v/>
      </c>
      <c r="C95" s="209"/>
      <c r="D95" s="209"/>
      <c r="E95" s="210"/>
      <c r="F95" s="152"/>
      <c r="G95" s="153"/>
      <c r="H95" s="162">
        <f t="shared" si="0"/>
        <v>0</v>
      </c>
      <c r="I95" s="163"/>
      <c r="J95" s="81">
        <f t="shared" si="1"/>
        <v>0</v>
      </c>
      <c r="K95" s="152"/>
      <c r="L95" s="153"/>
      <c r="M95" s="160">
        <f t="shared" si="2"/>
        <v>0</v>
      </c>
      <c r="N95" s="161"/>
      <c r="O95" s="81">
        <f t="shared" si="3"/>
        <v>0</v>
      </c>
      <c r="P95" s="152"/>
      <c r="Q95" s="153"/>
      <c r="R95" s="160">
        <f t="shared" si="4"/>
        <v>0</v>
      </c>
      <c r="S95" s="161"/>
      <c r="T95" s="81">
        <f t="shared" si="5"/>
        <v>0</v>
      </c>
      <c r="U95" s="152"/>
      <c r="V95" s="153"/>
      <c r="W95" s="160">
        <f t="shared" si="6"/>
        <v>0</v>
      </c>
      <c r="X95" s="161"/>
      <c r="Y95" s="81">
        <f t="shared" si="7"/>
        <v>0</v>
      </c>
      <c r="Z95" s="152"/>
      <c r="AA95" s="153"/>
      <c r="AB95" s="160">
        <f t="shared" si="8"/>
        <v>0</v>
      </c>
      <c r="AC95" s="161"/>
      <c r="AD95" s="81">
        <f t="shared" si="9"/>
        <v>0</v>
      </c>
      <c r="AE95" s="152"/>
      <c r="AF95" s="153"/>
      <c r="AG95" s="160">
        <f t="shared" si="10"/>
        <v>0</v>
      </c>
      <c r="AH95" s="161"/>
      <c r="AI95" s="81">
        <f t="shared" si="11"/>
        <v>0</v>
      </c>
      <c r="AJ95" s="152"/>
      <c r="AK95" s="153"/>
      <c r="AL95" s="160">
        <f t="shared" si="12"/>
        <v>0</v>
      </c>
      <c r="AM95" s="161"/>
      <c r="AN95" s="81">
        <f t="shared" si="13"/>
        <v>0</v>
      </c>
      <c r="AO95" s="152"/>
      <c r="AP95" s="153"/>
      <c r="AQ95" s="160">
        <f t="shared" si="14"/>
        <v>0</v>
      </c>
      <c r="AR95" s="161"/>
      <c r="AS95" s="81">
        <f t="shared" si="15"/>
        <v>0</v>
      </c>
      <c r="AT95" s="152"/>
      <c r="AU95" s="153"/>
      <c r="AV95" s="160">
        <f t="shared" si="16"/>
        <v>0</v>
      </c>
      <c r="AW95" s="161"/>
      <c r="AX95" s="81">
        <f t="shared" si="17"/>
        <v>0</v>
      </c>
      <c r="AY95" s="152"/>
      <c r="AZ95" s="153"/>
      <c r="BA95" s="160">
        <f t="shared" si="18"/>
        <v>0</v>
      </c>
      <c r="BB95" s="161"/>
      <c r="BC95" s="81">
        <f t="shared" si="19"/>
        <v>0</v>
      </c>
      <c r="BD95" s="152"/>
      <c r="BE95" s="153"/>
      <c r="BF95" s="160">
        <f t="shared" si="20"/>
        <v>0</v>
      </c>
      <c r="BG95" s="161"/>
      <c r="BH95" s="81">
        <f t="shared" si="21"/>
        <v>0</v>
      </c>
      <c r="BI95" s="152"/>
      <c r="BJ95" s="153"/>
      <c r="BK95" s="160">
        <f t="shared" si="22"/>
        <v>0</v>
      </c>
      <c r="BL95" s="161"/>
      <c r="BM95" s="81">
        <f t="shared" si="23"/>
        <v>0</v>
      </c>
      <c r="BN95" s="152"/>
      <c r="BO95" s="153"/>
      <c r="BP95" s="160">
        <f t="shared" si="24"/>
        <v>0</v>
      </c>
      <c r="BQ95" s="161"/>
      <c r="BR95" s="81">
        <f t="shared" si="25"/>
        <v>0</v>
      </c>
      <c r="BS95" s="152"/>
      <c r="BT95" s="153"/>
      <c r="BU95" s="160">
        <f t="shared" si="26"/>
        <v>0</v>
      </c>
      <c r="BV95" s="161"/>
      <c r="BW95" s="81">
        <f t="shared" si="27"/>
        <v>0</v>
      </c>
    </row>
    <row r="96" spans="1:76" s="13" customFormat="1" ht="14.1" customHeight="1" x14ac:dyDescent="0.3">
      <c r="A96" s="78"/>
      <c r="B96" s="208" t="str">
        <f>IF(ISBLANK($Q$29),"",VLOOKUP($Q$29,instellingsgegevens!$A$2:$AX$495,21,FALSE))</f>
        <v/>
      </c>
      <c r="C96" s="209"/>
      <c r="D96" s="209"/>
      <c r="E96" s="210"/>
      <c r="F96" s="152"/>
      <c r="G96" s="153"/>
      <c r="H96" s="162">
        <f t="shared" si="0"/>
        <v>0</v>
      </c>
      <c r="I96" s="163"/>
      <c r="J96" s="81">
        <f t="shared" si="1"/>
        <v>0</v>
      </c>
      <c r="K96" s="152"/>
      <c r="L96" s="153"/>
      <c r="M96" s="160">
        <f t="shared" si="2"/>
        <v>0</v>
      </c>
      <c r="N96" s="161"/>
      <c r="O96" s="81">
        <f t="shared" si="3"/>
        <v>0</v>
      </c>
      <c r="P96" s="152"/>
      <c r="Q96" s="153"/>
      <c r="R96" s="160">
        <f t="shared" si="4"/>
        <v>0</v>
      </c>
      <c r="S96" s="161"/>
      <c r="T96" s="81">
        <f t="shared" si="5"/>
        <v>0</v>
      </c>
      <c r="U96" s="152"/>
      <c r="V96" s="153"/>
      <c r="W96" s="160">
        <f t="shared" si="6"/>
        <v>0</v>
      </c>
      <c r="X96" s="161"/>
      <c r="Y96" s="81">
        <f t="shared" si="7"/>
        <v>0</v>
      </c>
      <c r="Z96" s="152"/>
      <c r="AA96" s="153"/>
      <c r="AB96" s="160">
        <f t="shared" si="8"/>
        <v>0</v>
      </c>
      <c r="AC96" s="161"/>
      <c r="AD96" s="81">
        <f t="shared" si="9"/>
        <v>0</v>
      </c>
      <c r="AE96" s="152"/>
      <c r="AF96" s="153"/>
      <c r="AG96" s="160">
        <f t="shared" si="10"/>
        <v>0</v>
      </c>
      <c r="AH96" s="161"/>
      <c r="AI96" s="81">
        <f t="shared" si="11"/>
        <v>0</v>
      </c>
      <c r="AJ96" s="152"/>
      <c r="AK96" s="153"/>
      <c r="AL96" s="160">
        <f t="shared" si="12"/>
        <v>0</v>
      </c>
      <c r="AM96" s="161"/>
      <c r="AN96" s="81">
        <f t="shared" si="13"/>
        <v>0</v>
      </c>
      <c r="AO96" s="152"/>
      <c r="AP96" s="153"/>
      <c r="AQ96" s="160">
        <f t="shared" si="14"/>
        <v>0</v>
      </c>
      <c r="AR96" s="161"/>
      <c r="AS96" s="81">
        <f t="shared" si="15"/>
        <v>0</v>
      </c>
      <c r="AT96" s="152"/>
      <c r="AU96" s="153"/>
      <c r="AV96" s="160">
        <f t="shared" si="16"/>
        <v>0</v>
      </c>
      <c r="AW96" s="161"/>
      <c r="AX96" s="81">
        <f t="shared" si="17"/>
        <v>0</v>
      </c>
      <c r="AY96" s="152"/>
      <c r="AZ96" s="153"/>
      <c r="BA96" s="160">
        <f t="shared" si="18"/>
        <v>0</v>
      </c>
      <c r="BB96" s="161"/>
      <c r="BC96" s="81">
        <f t="shared" si="19"/>
        <v>0</v>
      </c>
      <c r="BD96" s="152"/>
      <c r="BE96" s="153"/>
      <c r="BF96" s="160">
        <f t="shared" si="20"/>
        <v>0</v>
      </c>
      <c r="BG96" s="161"/>
      <c r="BH96" s="81">
        <f t="shared" si="21"/>
        <v>0</v>
      </c>
      <c r="BI96" s="152"/>
      <c r="BJ96" s="153"/>
      <c r="BK96" s="160">
        <f t="shared" si="22"/>
        <v>0</v>
      </c>
      <c r="BL96" s="161"/>
      <c r="BM96" s="81">
        <f t="shared" si="23"/>
        <v>0</v>
      </c>
      <c r="BN96" s="152"/>
      <c r="BO96" s="153"/>
      <c r="BP96" s="160">
        <f t="shared" si="24"/>
        <v>0</v>
      </c>
      <c r="BQ96" s="161"/>
      <c r="BR96" s="81">
        <f t="shared" si="25"/>
        <v>0</v>
      </c>
      <c r="BS96" s="152"/>
      <c r="BT96" s="153"/>
      <c r="BU96" s="160">
        <f t="shared" si="26"/>
        <v>0</v>
      </c>
      <c r="BV96" s="161"/>
      <c r="BW96" s="81">
        <f t="shared" si="27"/>
        <v>0</v>
      </c>
    </row>
    <row r="97" spans="1:75" s="13" customFormat="1" ht="14.1" customHeight="1" x14ac:dyDescent="0.3">
      <c r="A97" s="78"/>
      <c r="B97" s="208" t="str">
        <f>IF(ISBLANK($Q$29),"",VLOOKUP($Q$29,instellingsgegevens!$A$2:$AX$495,22,FALSE))</f>
        <v/>
      </c>
      <c r="C97" s="209"/>
      <c r="D97" s="209"/>
      <c r="E97" s="210"/>
      <c r="F97" s="152"/>
      <c r="G97" s="153"/>
      <c r="H97" s="162">
        <f t="shared" si="0"/>
        <v>0</v>
      </c>
      <c r="I97" s="163"/>
      <c r="J97" s="81">
        <f t="shared" si="1"/>
        <v>0</v>
      </c>
      <c r="K97" s="152"/>
      <c r="L97" s="153"/>
      <c r="M97" s="160">
        <f t="shared" si="2"/>
        <v>0</v>
      </c>
      <c r="N97" s="161"/>
      <c r="O97" s="81">
        <f t="shared" si="3"/>
        <v>0</v>
      </c>
      <c r="P97" s="152"/>
      <c r="Q97" s="153"/>
      <c r="R97" s="160">
        <f t="shared" si="4"/>
        <v>0</v>
      </c>
      <c r="S97" s="161"/>
      <c r="T97" s="81">
        <f t="shared" si="5"/>
        <v>0</v>
      </c>
      <c r="U97" s="152"/>
      <c r="V97" s="153"/>
      <c r="W97" s="160">
        <f t="shared" si="6"/>
        <v>0</v>
      </c>
      <c r="X97" s="161"/>
      <c r="Y97" s="81">
        <f t="shared" si="7"/>
        <v>0</v>
      </c>
      <c r="Z97" s="152"/>
      <c r="AA97" s="153"/>
      <c r="AB97" s="160">
        <f t="shared" si="8"/>
        <v>0</v>
      </c>
      <c r="AC97" s="161"/>
      <c r="AD97" s="81">
        <f t="shared" si="9"/>
        <v>0</v>
      </c>
      <c r="AE97" s="152"/>
      <c r="AF97" s="153"/>
      <c r="AG97" s="160">
        <f t="shared" si="10"/>
        <v>0</v>
      </c>
      <c r="AH97" s="161"/>
      <c r="AI97" s="81">
        <f t="shared" si="11"/>
        <v>0</v>
      </c>
      <c r="AJ97" s="152"/>
      <c r="AK97" s="153"/>
      <c r="AL97" s="160">
        <f t="shared" si="12"/>
        <v>0</v>
      </c>
      <c r="AM97" s="161"/>
      <c r="AN97" s="81">
        <f t="shared" si="13"/>
        <v>0</v>
      </c>
      <c r="AO97" s="152"/>
      <c r="AP97" s="153"/>
      <c r="AQ97" s="160">
        <f t="shared" si="14"/>
        <v>0</v>
      </c>
      <c r="AR97" s="161"/>
      <c r="AS97" s="81">
        <f t="shared" si="15"/>
        <v>0</v>
      </c>
      <c r="AT97" s="152"/>
      <c r="AU97" s="153"/>
      <c r="AV97" s="160">
        <f t="shared" si="16"/>
        <v>0</v>
      </c>
      <c r="AW97" s="161"/>
      <c r="AX97" s="81">
        <f t="shared" si="17"/>
        <v>0</v>
      </c>
      <c r="AY97" s="152"/>
      <c r="AZ97" s="153"/>
      <c r="BA97" s="160">
        <f t="shared" si="18"/>
        <v>0</v>
      </c>
      <c r="BB97" s="161"/>
      <c r="BC97" s="81">
        <f t="shared" si="19"/>
        <v>0</v>
      </c>
      <c r="BD97" s="152"/>
      <c r="BE97" s="153"/>
      <c r="BF97" s="160">
        <f t="shared" si="20"/>
        <v>0</v>
      </c>
      <c r="BG97" s="161"/>
      <c r="BH97" s="81">
        <f t="shared" si="21"/>
        <v>0</v>
      </c>
      <c r="BI97" s="152"/>
      <c r="BJ97" s="153"/>
      <c r="BK97" s="160">
        <f t="shared" si="22"/>
        <v>0</v>
      </c>
      <c r="BL97" s="161"/>
      <c r="BM97" s="81">
        <f t="shared" si="23"/>
        <v>0</v>
      </c>
      <c r="BN97" s="152"/>
      <c r="BO97" s="153"/>
      <c r="BP97" s="160">
        <f t="shared" si="24"/>
        <v>0</v>
      </c>
      <c r="BQ97" s="161"/>
      <c r="BR97" s="81">
        <f t="shared" si="25"/>
        <v>0</v>
      </c>
      <c r="BS97" s="152"/>
      <c r="BT97" s="153"/>
      <c r="BU97" s="160">
        <f t="shared" si="26"/>
        <v>0</v>
      </c>
      <c r="BV97" s="161"/>
      <c r="BW97" s="81">
        <f t="shared" si="27"/>
        <v>0</v>
      </c>
    </row>
    <row r="98" spans="1:75" s="13" customFormat="1" ht="14.1" customHeight="1" x14ac:dyDescent="0.3">
      <c r="A98" s="78"/>
      <c r="B98" s="208" t="str">
        <f>IF(ISBLANK($Q$29),"",VLOOKUP($Q$29,instellingsgegevens!$A$2:$AX$495,23,FALSE))</f>
        <v/>
      </c>
      <c r="C98" s="209"/>
      <c r="D98" s="209"/>
      <c r="E98" s="210"/>
      <c r="F98" s="152"/>
      <c r="G98" s="153"/>
      <c r="H98" s="162">
        <f t="shared" si="0"/>
        <v>0</v>
      </c>
      <c r="I98" s="163"/>
      <c r="J98" s="81">
        <f t="shared" si="1"/>
        <v>0</v>
      </c>
      <c r="K98" s="152"/>
      <c r="L98" s="153"/>
      <c r="M98" s="160">
        <f t="shared" si="2"/>
        <v>0</v>
      </c>
      <c r="N98" s="161"/>
      <c r="O98" s="81">
        <f t="shared" si="3"/>
        <v>0</v>
      </c>
      <c r="P98" s="152"/>
      <c r="Q98" s="153"/>
      <c r="R98" s="160">
        <f t="shared" si="4"/>
        <v>0</v>
      </c>
      <c r="S98" s="161"/>
      <c r="T98" s="81">
        <f t="shared" si="5"/>
        <v>0</v>
      </c>
      <c r="U98" s="152"/>
      <c r="V98" s="153"/>
      <c r="W98" s="160">
        <f t="shared" si="6"/>
        <v>0</v>
      </c>
      <c r="X98" s="161"/>
      <c r="Y98" s="81">
        <f t="shared" si="7"/>
        <v>0</v>
      </c>
      <c r="Z98" s="152"/>
      <c r="AA98" s="153"/>
      <c r="AB98" s="160">
        <f t="shared" si="8"/>
        <v>0</v>
      </c>
      <c r="AC98" s="161"/>
      <c r="AD98" s="81">
        <f t="shared" si="9"/>
        <v>0</v>
      </c>
      <c r="AE98" s="152"/>
      <c r="AF98" s="153"/>
      <c r="AG98" s="160">
        <f t="shared" si="10"/>
        <v>0</v>
      </c>
      <c r="AH98" s="161"/>
      <c r="AI98" s="81">
        <f t="shared" si="11"/>
        <v>0</v>
      </c>
      <c r="AJ98" s="152"/>
      <c r="AK98" s="153"/>
      <c r="AL98" s="160">
        <f t="shared" si="12"/>
        <v>0</v>
      </c>
      <c r="AM98" s="161"/>
      <c r="AN98" s="81">
        <f t="shared" si="13"/>
        <v>0</v>
      </c>
      <c r="AO98" s="152"/>
      <c r="AP98" s="153"/>
      <c r="AQ98" s="160">
        <f t="shared" si="14"/>
        <v>0</v>
      </c>
      <c r="AR98" s="161"/>
      <c r="AS98" s="81">
        <f t="shared" si="15"/>
        <v>0</v>
      </c>
      <c r="AT98" s="152"/>
      <c r="AU98" s="153"/>
      <c r="AV98" s="160">
        <f t="shared" si="16"/>
        <v>0</v>
      </c>
      <c r="AW98" s="161"/>
      <c r="AX98" s="81">
        <f t="shared" si="17"/>
        <v>0</v>
      </c>
      <c r="AY98" s="152"/>
      <c r="AZ98" s="153"/>
      <c r="BA98" s="160">
        <f t="shared" si="18"/>
        <v>0</v>
      </c>
      <c r="BB98" s="161"/>
      <c r="BC98" s="81">
        <f t="shared" si="19"/>
        <v>0</v>
      </c>
      <c r="BD98" s="152"/>
      <c r="BE98" s="153"/>
      <c r="BF98" s="160">
        <f t="shared" si="20"/>
        <v>0</v>
      </c>
      <c r="BG98" s="161"/>
      <c r="BH98" s="81">
        <f t="shared" si="21"/>
        <v>0</v>
      </c>
      <c r="BI98" s="152"/>
      <c r="BJ98" s="153"/>
      <c r="BK98" s="160">
        <f t="shared" si="22"/>
        <v>0</v>
      </c>
      <c r="BL98" s="161"/>
      <c r="BM98" s="81">
        <f t="shared" si="23"/>
        <v>0</v>
      </c>
      <c r="BN98" s="152"/>
      <c r="BO98" s="153"/>
      <c r="BP98" s="160">
        <f t="shared" si="24"/>
        <v>0</v>
      </c>
      <c r="BQ98" s="161"/>
      <c r="BR98" s="81">
        <f t="shared" si="25"/>
        <v>0</v>
      </c>
      <c r="BS98" s="152"/>
      <c r="BT98" s="153"/>
      <c r="BU98" s="160">
        <f t="shared" si="26"/>
        <v>0</v>
      </c>
      <c r="BV98" s="161"/>
      <c r="BW98" s="81">
        <f t="shared" si="27"/>
        <v>0</v>
      </c>
    </row>
    <row r="99" spans="1:75" s="13" customFormat="1" ht="14.1" customHeight="1" x14ac:dyDescent="0.3">
      <c r="A99" s="78"/>
      <c r="B99" s="208" t="str">
        <f>IF(ISBLANK($Q$29),"",VLOOKUP($Q$29,instellingsgegevens!$A$2:$AX$495,24,FALSE))</f>
        <v/>
      </c>
      <c r="C99" s="209"/>
      <c r="D99" s="209"/>
      <c r="E99" s="210"/>
      <c r="F99" s="152"/>
      <c r="G99" s="153"/>
      <c r="H99" s="162">
        <f t="shared" si="0"/>
        <v>0</v>
      </c>
      <c r="I99" s="163"/>
      <c r="J99" s="81">
        <f t="shared" si="1"/>
        <v>0</v>
      </c>
      <c r="K99" s="152"/>
      <c r="L99" s="153"/>
      <c r="M99" s="160">
        <f t="shared" si="2"/>
        <v>0</v>
      </c>
      <c r="N99" s="161"/>
      <c r="O99" s="81">
        <f t="shared" si="3"/>
        <v>0</v>
      </c>
      <c r="P99" s="152"/>
      <c r="Q99" s="153"/>
      <c r="R99" s="160">
        <f t="shared" si="4"/>
        <v>0</v>
      </c>
      <c r="S99" s="161"/>
      <c r="T99" s="81">
        <f t="shared" si="5"/>
        <v>0</v>
      </c>
      <c r="U99" s="152"/>
      <c r="V99" s="153"/>
      <c r="W99" s="160">
        <f t="shared" si="6"/>
        <v>0</v>
      </c>
      <c r="X99" s="161"/>
      <c r="Y99" s="81">
        <f t="shared" si="7"/>
        <v>0</v>
      </c>
      <c r="Z99" s="152"/>
      <c r="AA99" s="153"/>
      <c r="AB99" s="160">
        <f t="shared" si="8"/>
        <v>0</v>
      </c>
      <c r="AC99" s="161"/>
      <c r="AD99" s="81">
        <f t="shared" si="9"/>
        <v>0</v>
      </c>
      <c r="AE99" s="152"/>
      <c r="AF99" s="153"/>
      <c r="AG99" s="160">
        <f t="shared" si="10"/>
        <v>0</v>
      </c>
      <c r="AH99" s="161"/>
      <c r="AI99" s="81">
        <f t="shared" si="11"/>
        <v>0</v>
      </c>
      <c r="AJ99" s="152"/>
      <c r="AK99" s="153"/>
      <c r="AL99" s="160">
        <f t="shared" si="12"/>
        <v>0</v>
      </c>
      <c r="AM99" s="161"/>
      <c r="AN99" s="81">
        <f t="shared" si="13"/>
        <v>0</v>
      </c>
      <c r="AO99" s="152"/>
      <c r="AP99" s="153"/>
      <c r="AQ99" s="160">
        <f t="shared" si="14"/>
        <v>0</v>
      </c>
      <c r="AR99" s="161"/>
      <c r="AS99" s="81">
        <f t="shared" si="15"/>
        <v>0</v>
      </c>
      <c r="AT99" s="152"/>
      <c r="AU99" s="153"/>
      <c r="AV99" s="160">
        <f t="shared" si="16"/>
        <v>0</v>
      </c>
      <c r="AW99" s="161"/>
      <c r="AX99" s="81">
        <f t="shared" si="17"/>
        <v>0</v>
      </c>
      <c r="AY99" s="152"/>
      <c r="AZ99" s="153"/>
      <c r="BA99" s="160">
        <f t="shared" si="18"/>
        <v>0</v>
      </c>
      <c r="BB99" s="161"/>
      <c r="BC99" s="81">
        <f t="shared" si="19"/>
        <v>0</v>
      </c>
      <c r="BD99" s="152"/>
      <c r="BE99" s="153"/>
      <c r="BF99" s="160">
        <f t="shared" si="20"/>
        <v>0</v>
      </c>
      <c r="BG99" s="161"/>
      <c r="BH99" s="81">
        <f t="shared" si="21"/>
        <v>0</v>
      </c>
      <c r="BI99" s="152"/>
      <c r="BJ99" s="153"/>
      <c r="BK99" s="160">
        <f t="shared" si="22"/>
        <v>0</v>
      </c>
      <c r="BL99" s="161"/>
      <c r="BM99" s="81">
        <f t="shared" si="23"/>
        <v>0</v>
      </c>
      <c r="BN99" s="152"/>
      <c r="BO99" s="153"/>
      <c r="BP99" s="160">
        <f t="shared" si="24"/>
        <v>0</v>
      </c>
      <c r="BQ99" s="161"/>
      <c r="BR99" s="81">
        <f t="shared" si="25"/>
        <v>0</v>
      </c>
      <c r="BS99" s="152"/>
      <c r="BT99" s="153"/>
      <c r="BU99" s="160">
        <f t="shared" si="26"/>
        <v>0</v>
      </c>
      <c r="BV99" s="161"/>
      <c r="BW99" s="81">
        <f t="shared" si="27"/>
        <v>0</v>
      </c>
    </row>
    <row r="100" spans="1:75" s="13" customFormat="1" ht="14.1" customHeight="1" x14ac:dyDescent="0.3">
      <c r="A100" s="78"/>
      <c r="B100" s="208" t="str">
        <f>IF(ISBLANK($Q$29),"",VLOOKUP($Q$29,instellingsgegevens!$A$2:$AX$495,25,FALSE))</f>
        <v/>
      </c>
      <c r="C100" s="209"/>
      <c r="D100" s="209"/>
      <c r="E100" s="210"/>
      <c r="F100" s="152"/>
      <c r="G100" s="153"/>
      <c r="H100" s="162">
        <f t="shared" si="0"/>
        <v>0</v>
      </c>
      <c r="I100" s="163"/>
      <c r="J100" s="81">
        <f t="shared" si="1"/>
        <v>0</v>
      </c>
      <c r="K100" s="152"/>
      <c r="L100" s="153"/>
      <c r="M100" s="160">
        <f t="shared" si="2"/>
        <v>0</v>
      </c>
      <c r="N100" s="161"/>
      <c r="O100" s="81">
        <f t="shared" si="3"/>
        <v>0</v>
      </c>
      <c r="P100" s="152"/>
      <c r="Q100" s="153"/>
      <c r="R100" s="160">
        <f t="shared" si="4"/>
        <v>0</v>
      </c>
      <c r="S100" s="161"/>
      <c r="T100" s="81">
        <f t="shared" si="5"/>
        <v>0</v>
      </c>
      <c r="U100" s="152"/>
      <c r="V100" s="153"/>
      <c r="W100" s="160">
        <f t="shared" si="6"/>
        <v>0</v>
      </c>
      <c r="X100" s="161"/>
      <c r="Y100" s="81">
        <f t="shared" si="7"/>
        <v>0</v>
      </c>
      <c r="Z100" s="152"/>
      <c r="AA100" s="153"/>
      <c r="AB100" s="160">
        <f t="shared" si="8"/>
        <v>0</v>
      </c>
      <c r="AC100" s="161"/>
      <c r="AD100" s="81">
        <f t="shared" si="9"/>
        <v>0</v>
      </c>
      <c r="AE100" s="152"/>
      <c r="AF100" s="153"/>
      <c r="AG100" s="160">
        <f t="shared" si="10"/>
        <v>0</v>
      </c>
      <c r="AH100" s="161"/>
      <c r="AI100" s="81">
        <f t="shared" si="11"/>
        <v>0</v>
      </c>
      <c r="AJ100" s="152"/>
      <c r="AK100" s="153"/>
      <c r="AL100" s="160">
        <f t="shared" si="12"/>
        <v>0</v>
      </c>
      <c r="AM100" s="161"/>
      <c r="AN100" s="81">
        <f t="shared" si="13"/>
        <v>0</v>
      </c>
      <c r="AO100" s="152"/>
      <c r="AP100" s="153"/>
      <c r="AQ100" s="160">
        <f t="shared" si="14"/>
        <v>0</v>
      </c>
      <c r="AR100" s="161"/>
      <c r="AS100" s="81">
        <f t="shared" si="15"/>
        <v>0</v>
      </c>
      <c r="AT100" s="152"/>
      <c r="AU100" s="153"/>
      <c r="AV100" s="160">
        <f t="shared" si="16"/>
        <v>0</v>
      </c>
      <c r="AW100" s="161"/>
      <c r="AX100" s="81">
        <f t="shared" si="17"/>
        <v>0</v>
      </c>
      <c r="AY100" s="152"/>
      <c r="AZ100" s="153"/>
      <c r="BA100" s="160">
        <f t="shared" si="18"/>
        <v>0</v>
      </c>
      <c r="BB100" s="161"/>
      <c r="BC100" s="81">
        <f t="shared" si="19"/>
        <v>0</v>
      </c>
      <c r="BD100" s="152"/>
      <c r="BE100" s="153"/>
      <c r="BF100" s="160">
        <f t="shared" si="20"/>
        <v>0</v>
      </c>
      <c r="BG100" s="161"/>
      <c r="BH100" s="81">
        <f t="shared" si="21"/>
        <v>0</v>
      </c>
      <c r="BI100" s="152"/>
      <c r="BJ100" s="153"/>
      <c r="BK100" s="160">
        <f t="shared" si="22"/>
        <v>0</v>
      </c>
      <c r="BL100" s="161"/>
      <c r="BM100" s="81">
        <f t="shared" si="23"/>
        <v>0</v>
      </c>
      <c r="BN100" s="152"/>
      <c r="BO100" s="153"/>
      <c r="BP100" s="160">
        <f t="shared" si="24"/>
        <v>0</v>
      </c>
      <c r="BQ100" s="161"/>
      <c r="BR100" s="81">
        <f t="shared" si="25"/>
        <v>0</v>
      </c>
      <c r="BS100" s="152"/>
      <c r="BT100" s="153"/>
      <c r="BU100" s="160">
        <f t="shared" si="26"/>
        <v>0</v>
      </c>
      <c r="BV100" s="161"/>
      <c r="BW100" s="81">
        <f t="shared" si="27"/>
        <v>0</v>
      </c>
    </row>
    <row r="101" spans="1:75" s="13" customFormat="1" ht="14.1" customHeight="1" x14ac:dyDescent="0.3">
      <c r="A101" s="78"/>
      <c r="B101" s="208" t="str">
        <f>IF(ISBLANK($Q$29),"",VLOOKUP($Q$29,instellingsgegevens!$A$2:$AX$495,26,FALSE))</f>
        <v/>
      </c>
      <c r="C101" s="209"/>
      <c r="D101" s="209"/>
      <c r="E101" s="210"/>
      <c r="F101" s="152"/>
      <c r="G101" s="153"/>
      <c r="H101" s="162">
        <f t="shared" si="0"/>
        <v>0</v>
      </c>
      <c r="I101" s="163"/>
      <c r="J101" s="81">
        <f t="shared" si="1"/>
        <v>0</v>
      </c>
      <c r="K101" s="152"/>
      <c r="L101" s="153"/>
      <c r="M101" s="160">
        <f t="shared" si="2"/>
        <v>0</v>
      </c>
      <c r="N101" s="161"/>
      <c r="O101" s="81">
        <f t="shared" si="3"/>
        <v>0</v>
      </c>
      <c r="P101" s="152"/>
      <c r="Q101" s="153"/>
      <c r="R101" s="160">
        <f t="shared" si="4"/>
        <v>0</v>
      </c>
      <c r="S101" s="161"/>
      <c r="T101" s="81">
        <f t="shared" si="5"/>
        <v>0</v>
      </c>
      <c r="U101" s="152"/>
      <c r="V101" s="153"/>
      <c r="W101" s="160">
        <f t="shared" si="6"/>
        <v>0</v>
      </c>
      <c r="X101" s="161"/>
      <c r="Y101" s="81">
        <f t="shared" si="7"/>
        <v>0</v>
      </c>
      <c r="Z101" s="152"/>
      <c r="AA101" s="153"/>
      <c r="AB101" s="160">
        <f t="shared" si="8"/>
        <v>0</v>
      </c>
      <c r="AC101" s="161"/>
      <c r="AD101" s="81">
        <f t="shared" si="9"/>
        <v>0</v>
      </c>
      <c r="AE101" s="152"/>
      <c r="AF101" s="153"/>
      <c r="AG101" s="160">
        <f t="shared" si="10"/>
        <v>0</v>
      </c>
      <c r="AH101" s="161"/>
      <c r="AI101" s="81">
        <f t="shared" si="11"/>
        <v>0</v>
      </c>
      <c r="AJ101" s="152"/>
      <c r="AK101" s="153"/>
      <c r="AL101" s="160">
        <f t="shared" si="12"/>
        <v>0</v>
      </c>
      <c r="AM101" s="161"/>
      <c r="AN101" s="81">
        <f t="shared" si="13"/>
        <v>0</v>
      </c>
      <c r="AO101" s="152"/>
      <c r="AP101" s="153"/>
      <c r="AQ101" s="160">
        <f t="shared" si="14"/>
        <v>0</v>
      </c>
      <c r="AR101" s="161"/>
      <c r="AS101" s="81">
        <f t="shared" si="15"/>
        <v>0</v>
      </c>
      <c r="AT101" s="152"/>
      <c r="AU101" s="153"/>
      <c r="AV101" s="160">
        <f t="shared" si="16"/>
        <v>0</v>
      </c>
      <c r="AW101" s="161"/>
      <c r="AX101" s="81">
        <f t="shared" si="17"/>
        <v>0</v>
      </c>
      <c r="AY101" s="152"/>
      <c r="AZ101" s="153"/>
      <c r="BA101" s="160">
        <f t="shared" si="18"/>
        <v>0</v>
      </c>
      <c r="BB101" s="161"/>
      <c r="BC101" s="81">
        <f t="shared" si="19"/>
        <v>0</v>
      </c>
      <c r="BD101" s="152"/>
      <c r="BE101" s="153"/>
      <c r="BF101" s="160">
        <f t="shared" si="20"/>
        <v>0</v>
      </c>
      <c r="BG101" s="161"/>
      <c r="BH101" s="81">
        <f t="shared" si="21"/>
        <v>0</v>
      </c>
      <c r="BI101" s="152"/>
      <c r="BJ101" s="153"/>
      <c r="BK101" s="160">
        <f t="shared" si="22"/>
        <v>0</v>
      </c>
      <c r="BL101" s="161"/>
      <c r="BM101" s="81">
        <f t="shared" si="23"/>
        <v>0</v>
      </c>
      <c r="BN101" s="152"/>
      <c r="BO101" s="153"/>
      <c r="BP101" s="160">
        <f t="shared" si="24"/>
        <v>0</v>
      </c>
      <c r="BQ101" s="161"/>
      <c r="BR101" s="81">
        <f t="shared" si="25"/>
        <v>0</v>
      </c>
      <c r="BS101" s="152"/>
      <c r="BT101" s="153"/>
      <c r="BU101" s="160">
        <f t="shared" si="26"/>
        <v>0</v>
      </c>
      <c r="BV101" s="161"/>
      <c r="BW101" s="81">
        <f t="shared" si="27"/>
        <v>0</v>
      </c>
    </row>
    <row r="102" spans="1:75" s="13" customFormat="1" ht="14.1" customHeight="1" x14ac:dyDescent="0.3">
      <c r="A102" s="78"/>
      <c r="B102" s="208" t="str">
        <f>IF(ISBLANK($Q$29),"",VLOOKUP($Q$29,instellingsgegevens!$A$2:$AX$495,27,FALSE))</f>
        <v/>
      </c>
      <c r="C102" s="209"/>
      <c r="D102" s="209"/>
      <c r="E102" s="210"/>
      <c r="F102" s="152"/>
      <c r="G102" s="153"/>
      <c r="H102" s="162">
        <f t="shared" si="0"/>
        <v>0</v>
      </c>
      <c r="I102" s="163"/>
      <c r="J102" s="81">
        <f t="shared" si="1"/>
        <v>0</v>
      </c>
      <c r="K102" s="152"/>
      <c r="L102" s="153"/>
      <c r="M102" s="160">
        <f t="shared" si="2"/>
        <v>0</v>
      </c>
      <c r="N102" s="161"/>
      <c r="O102" s="81">
        <f t="shared" si="3"/>
        <v>0</v>
      </c>
      <c r="P102" s="152"/>
      <c r="Q102" s="153"/>
      <c r="R102" s="160">
        <f t="shared" si="4"/>
        <v>0</v>
      </c>
      <c r="S102" s="161"/>
      <c r="T102" s="81">
        <f t="shared" si="5"/>
        <v>0</v>
      </c>
      <c r="U102" s="152"/>
      <c r="V102" s="153"/>
      <c r="W102" s="160">
        <f t="shared" si="6"/>
        <v>0</v>
      </c>
      <c r="X102" s="161"/>
      <c r="Y102" s="81">
        <f t="shared" si="7"/>
        <v>0</v>
      </c>
      <c r="Z102" s="152"/>
      <c r="AA102" s="153"/>
      <c r="AB102" s="160">
        <f t="shared" si="8"/>
        <v>0</v>
      </c>
      <c r="AC102" s="161"/>
      <c r="AD102" s="81">
        <f t="shared" si="9"/>
        <v>0</v>
      </c>
      <c r="AE102" s="152"/>
      <c r="AF102" s="153"/>
      <c r="AG102" s="160">
        <f t="shared" si="10"/>
        <v>0</v>
      </c>
      <c r="AH102" s="161"/>
      <c r="AI102" s="81">
        <f t="shared" si="11"/>
        <v>0</v>
      </c>
      <c r="AJ102" s="152"/>
      <c r="AK102" s="153"/>
      <c r="AL102" s="160">
        <f t="shared" si="12"/>
        <v>0</v>
      </c>
      <c r="AM102" s="161"/>
      <c r="AN102" s="81">
        <f t="shared" si="13"/>
        <v>0</v>
      </c>
      <c r="AO102" s="152"/>
      <c r="AP102" s="153"/>
      <c r="AQ102" s="160">
        <f t="shared" si="14"/>
        <v>0</v>
      </c>
      <c r="AR102" s="161"/>
      <c r="AS102" s="81">
        <f t="shared" si="15"/>
        <v>0</v>
      </c>
      <c r="AT102" s="152"/>
      <c r="AU102" s="153"/>
      <c r="AV102" s="160">
        <f t="shared" si="16"/>
        <v>0</v>
      </c>
      <c r="AW102" s="161"/>
      <c r="AX102" s="81">
        <f t="shared" si="17"/>
        <v>0</v>
      </c>
      <c r="AY102" s="152"/>
      <c r="AZ102" s="153"/>
      <c r="BA102" s="160">
        <f t="shared" si="18"/>
        <v>0</v>
      </c>
      <c r="BB102" s="161"/>
      <c r="BC102" s="81">
        <f t="shared" si="19"/>
        <v>0</v>
      </c>
      <c r="BD102" s="152"/>
      <c r="BE102" s="153"/>
      <c r="BF102" s="160">
        <f t="shared" si="20"/>
        <v>0</v>
      </c>
      <c r="BG102" s="161"/>
      <c r="BH102" s="81">
        <f t="shared" si="21"/>
        <v>0</v>
      </c>
      <c r="BI102" s="152"/>
      <c r="BJ102" s="153"/>
      <c r="BK102" s="160">
        <f t="shared" si="22"/>
        <v>0</v>
      </c>
      <c r="BL102" s="161"/>
      <c r="BM102" s="81">
        <f t="shared" si="23"/>
        <v>0</v>
      </c>
      <c r="BN102" s="152"/>
      <c r="BO102" s="153"/>
      <c r="BP102" s="160">
        <f t="shared" si="24"/>
        <v>0</v>
      </c>
      <c r="BQ102" s="161"/>
      <c r="BR102" s="81">
        <f t="shared" si="25"/>
        <v>0</v>
      </c>
      <c r="BS102" s="152"/>
      <c r="BT102" s="153"/>
      <c r="BU102" s="160">
        <f t="shared" si="26"/>
        <v>0</v>
      </c>
      <c r="BV102" s="161"/>
      <c r="BW102" s="81">
        <f t="shared" si="27"/>
        <v>0</v>
      </c>
    </row>
    <row r="103" spans="1:75" s="13" customFormat="1" ht="14.1" customHeight="1" x14ac:dyDescent="0.3">
      <c r="A103" s="78"/>
      <c r="B103" s="208" t="str">
        <f>IF(ISBLANK($Q$29),"",VLOOKUP($Q$29,instellingsgegevens!$A$2:$AX$495,28,FALSE))</f>
        <v/>
      </c>
      <c r="C103" s="209"/>
      <c r="D103" s="209"/>
      <c r="E103" s="210"/>
      <c r="F103" s="152"/>
      <c r="G103" s="153"/>
      <c r="H103" s="162">
        <f t="shared" si="0"/>
        <v>0</v>
      </c>
      <c r="I103" s="163"/>
      <c r="J103" s="81">
        <f t="shared" si="1"/>
        <v>0</v>
      </c>
      <c r="K103" s="152"/>
      <c r="L103" s="153"/>
      <c r="M103" s="160">
        <f t="shared" si="2"/>
        <v>0</v>
      </c>
      <c r="N103" s="161"/>
      <c r="O103" s="81">
        <f t="shared" si="3"/>
        <v>0</v>
      </c>
      <c r="P103" s="152"/>
      <c r="Q103" s="153"/>
      <c r="R103" s="160">
        <f t="shared" si="4"/>
        <v>0</v>
      </c>
      <c r="S103" s="161"/>
      <c r="T103" s="81">
        <f t="shared" si="5"/>
        <v>0</v>
      </c>
      <c r="U103" s="152"/>
      <c r="V103" s="153"/>
      <c r="W103" s="160">
        <f t="shared" si="6"/>
        <v>0</v>
      </c>
      <c r="X103" s="161"/>
      <c r="Y103" s="81">
        <f t="shared" si="7"/>
        <v>0</v>
      </c>
      <c r="Z103" s="152"/>
      <c r="AA103" s="153"/>
      <c r="AB103" s="160">
        <f t="shared" si="8"/>
        <v>0</v>
      </c>
      <c r="AC103" s="161"/>
      <c r="AD103" s="81">
        <f t="shared" si="9"/>
        <v>0</v>
      </c>
      <c r="AE103" s="152"/>
      <c r="AF103" s="153"/>
      <c r="AG103" s="160">
        <f t="shared" si="10"/>
        <v>0</v>
      </c>
      <c r="AH103" s="161"/>
      <c r="AI103" s="81">
        <f t="shared" si="11"/>
        <v>0</v>
      </c>
      <c r="AJ103" s="152"/>
      <c r="AK103" s="153"/>
      <c r="AL103" s="160">
        <f t="shared" si="12"/>
        <v>0</v>
      </c>
      <c r="AM103" s="161"/>
      <c r="AN103" s="81">
        <f t="shared" si="13"/>
        <v>0</v>
      </c>
      <c r="AO103" s="152"/>
      <c r="AP103" s="153"/>
      <c r="AQ103" s="160">
        <f t="shared" si="14"/>
        <v>0</v>
      </c>
      <c r="AR103" s="161"/>
      <c r="AS103" s="81">
        <f t="shared" si="15"/>
        <v>0</v>
      </c>
      <c r="AT103" s="152"/>
      <c r="AU103" s="153"/>
      <c r="AV103" s="160">
        <f t="shared" si="16"/>
        <v>0</v>
      </c>
      <c r="AW103" s="161"/>
      <c r="AX103" s="81">
        <f t="shared" si="17"/>
        <v>0</v>
      </c>
      <c r="AY103" s="152"/>
      <c r="AZ103" s="153"/>
      <c r="BA103" s="160">
        <f t="shared" si="18"/>
        <v>0</v>
      </c>
      <c r="BB103" s="161"/>
      <c r="BC103" s="81">
        <f t="shared" si="19"/>
        <v>0</v>
      </c>
      <c r="BD103" s="152"/>
      <c r="BE103" s="153"/>
      <c r="BF103" s="160">
        <f t="shared" si="20"/>
        <v>0</v>
      </c>
      <c r="BG103" s="161"/>
      <c r="BH103" s="81">
        <f t="shared" si="21"/>
        <v>0</v>
      </c>
      <c r="BI103" s="152"/>
      <c r="BJ103" s="153"/>
      <c r="BK103" s="160">
        <f t="shared" si="22"/>
        <v>0</v>
      </c>
      <c r="BL103" s="161"/>
      <c r="BM103" s="81">
        <f t="shared" si="23"/>
        <v>0</v>
      </c>
      <c r="BN103" s="152"/>
      <c r="BO103" s="153"/>
      <c r="BP103" s="160">
        <f t="shared" si="24"/>
        <v>0</v>
      </c>
      <c r="BQ103" s="161"/>
      <c r="BR103" s="81">
        <f t="shared" si="25"/>
        <v>0</v>
      </c>
      <c r="BS103" s="152"/>
      <c r="BT103" s="153"/>
      <c r="BU103" s="160">
        <f t="shared" si="26"/>
        <v>0</v>
      </c>
      <c r="BV103" s="161"/>
      <c r="BW103" s="81">
        <f t="shared" si="27"/>
        <v>0</v>
      </c>
    </row>
    <row r="104" spans="1:75" s="13" customFormat="1" ht="14.1" customHeight="1" x14ac:dyDescent="0.3">
      <c r="A104" s="78"/>
      <c r="B104" s="208" t="str">
        <f>IF(ISBLANK($Q$29),"",VLOOKUP($Q$29,instellingsgegevens!$A$2:$AX$495,29,FALSE))</f>
        <v/>
      </c>
      <c r="C104" s="209"/>
      <c r="D104" s="209"/>
      <c r="E104" s="210"/>
      <c r="F104" s="152"/>
      <c r="G104" s="153"/>
      <c r="H104" s="162">
        <f t="shared" si="0"/>
        <v>0</v>
      </c>
      <c r="I104" s="163"/>
      <c r="J104" s="81">
        <f t="shared" si="1"/>
        <v>0</v>
      </c>
      <c r="K104" s="152"/>
      <c r="L104" s="153"/>
      <c r="M104" s="160">
        <f t="shared" si="2"/>
        <v>0</v>
      </c>
      <c r="N104" s="161"/>
      <c r="O104" s="81">
        <f t="shared" si="3"/>
        <v>0</v>
      </c>
      <c r="P104" s="152"/>
      <c r="Q104" s="153"/>
      <c r="R104" s="160">
        <f t="shared" si="4"/>
        <v>0</v>
      </c>
      <c r="S104" s="161"/>
      <c r="T104" s="81">
        <f t="shared" si="5"/>
        <v>0</v>
      </c>
      <c r="U104" s="152"/>
      <c r="V104" s="153"/>
      <c r="W104" s="160">
        <f t="shared" si="6"/>
        <v>0</v>
      </c>
      <c r="X104" s="161"/>
      <c r="Y104" s="81">
        <f t="shared" si="7"/>
        <v>0</v>
      </c>
      <c r="Z104" s="152"/>
      <c r="AA104" s="153"/>
      <c r="AB104" s="160">
        <f t="shared" si="8"/>
        <v>0</v>
      </c>
      <c r="AC104" s="161"/>
      <c r="AD104" s="81">
        <f t="shared" si="9"/>
        <v>0</v>
      </c>
      <c r="AE104" s="152"/>
      <c r="AF104" s="153"/>
      <c r="AG104" s="160">
        <f t="shared" si="10"/>
        <v>0</v>
      </c>
      <c r="AH104" s="161"/>
      <c r="AI104" s="81">
        <f t="shared" si="11"/>
        <v>0</v>
      </c>
      <c r="AJ104" s="152"/>
      <c r="AK104" s="153"/>
      <c r="AL104" s="160">
        <f t="shared" si="12"/>
        <v>0</v>
      </c>
      <c r="AM104" s="161"/>
      <c r="AN104" s="81">
        <f t="shared" si="13"/>
        <v>0</v>
      </c>
      <c r="AO104" s="152"/>
      <c r="AP104" s="153"/>
      <c r="AQ104" s="160">
        <f t="shared" si="14"/>
        <v>0</v>
      </c>
      <c r="AR104" s="161"/>
      <c r="AS104" s="81">
        <f t="shared" si="15"/>
        <v>0</v>
      </c>
      <c r="AT104" s="152"/>
      <c r="AU104" s="153"/>
      <c r="AV104" s="160">
        <f t="shared" si="16"/>
        <v>0</v>
      </c>
      <c r="AW104" s="161"/>
      <c r="AX104" s="81">
        <f t="shared" si="17"/>
        <v>0</v>
      </c>
      <c r="AY104" s="152"/>
      <c r="AZ104" s="153"/>
      <c r="BA104" s="160">
        <f t="shared" si="18"/>
        <v>0</v>
      </c>
      <c r="BB104" s="161"/>
      <c r="BC104" s="81">
        <f t="shared" si="19"/>
        <v>0</v>
      </c>
      <c r="BD104" s="152"/>
      <c r="BE104" s="153"/>
      <c r="BF104" s="160">
        <f t="shared" si="20"/>
        <v>0</v>
      </c>
      <c r="BG104" s="161"/>
      <c r="BH104" s="81">
        <f t="shared" si="21"/>
        <v>0</v>
      </c>
      <c r="BI104" s="152"/>
      <c r="BJ104" s="153"/>
      <c r="BK104" s="160">
        <f t="shared" si="22"/>
        <v>0</v>
      </c>
      <c r="BL104" s="161"/>
      <c r="BM104" s="81">
        <f t="shared" si="23"/>
        <v>0</v>
      </c>
      <c r="BN104" s="152"/>
      <c r="BO104" s="153"/>
      <c r="BP104" s="160">
        <f t="shared" si="24"/>
        <v>0</v>
      </c>
      <c r="BQ104" s="161"/>
      <c r="BR104" s="81">
        <f t="shared" si="25"/>
        <v>0</v>
      </c>
      <c r="BS104" s="152"/>
      <c r="BT104" s="153"/>
      <c r="BU104" s="160">
        <f t="shared" si="26"/>
        <v>0</v>
      </c>
      <c r="BV104" s="161"/>
      <c r="BW104" s="81">
        <f t="shared" si="27"/>
        <v>0</v>
      </c>
    </row>
    <row r="105" spans="1:75" s="13" customFormat="1" ht="14.1" customHeight="1" x14ac:dyDescent="0.3">
      <c r="A105" s="78"/>
      <c r="B105" s="208" t="str">
        <f>IF(ISBLANK($Q$29),"",VLOOKUP($Q$29,instellingsgegevens!$A$2:$AX$495,30,FALSE))</f>
        <v/>
      </c>
      <c r="C105" s="209"/>
      <c r="D105" s="209"/>
      <c r="E105" s="210"/>
      <c r="F105" s="152"/>
      <c r="G105" s="153"/>
      <c r="H105" s="162">
        <f t="shared" ref="H105:H121" si="28">F105*1.5</f>
        <v>0</v>
      </c>
      <c r="I105" s="163"/>
      <c r="J105" s="81">
        <f t="shared" si="1"/>
        <v>0</v>
      </c>
      <c r="K105" s="152"/>
      <c r="L105" s="153"/>
      <c r="M105" s="160">
        <f t="shared" si="2"/>
        <v>0</v>
      </c>
      <c r="N105" s="161"/>
      <c r="O105" s="81">
        <f t="shared" si="3"/>
        <v>0</v>
      </c>
      <c r="P105" s="152"/>
      <c r="Q105" s="153"/>
      <c r="R105" s="160">
        <f t="shared" si="4"/>
        <v>0</v>
      </c>
      <c r="S105" s="161"/>
      <c r="T105" s="81">
        <f t="shared" si="5"/>
        <v>0</v>
      </c>
      <c r="U105" s="152"/>
      <c r="V105" s="153"/>
      <c r="W105" s="160">
        <f t="shared" si="6"/>
        <v>0</v>
      </c>
      <c r="X105" s="161"/>
      <c r="Y105" s="81">
        <f t="shared" si="7"/>
        <v>0</v>
      </c>
      <c r="Z105" s="152"/>
      <c r="AA105" s="153"/>
      <c r="AB105" s="160">
        <f t="shared" si="8"/>
        <v>0</v>
      </c>
      <c r="AC105" s="161"/>
      <c r="AD105" s="81">
        <f t="shared" si="9"/>
        <v>0</v>
      </c>
      <c r="AE105" s="152"/>
      <c r="AF105" s="153"/>
      <c r="AG105" s="160">
        <f t="shared" si="10"/>
        <v>0</v>
      </c>
      <c r="AH105" s="161"/>
      <c r="AI105" s="81">
        <f t="shared" si="11"/>
        <v>0</v>
      </c>
      <c r="AJ105" s="152"/>
      <c r="AK105" s="153"/>
      <c r="AL105" s="160">
        <f t="shared" si="12"/>
        <v>0</v>
      </c>
      <c r="AM105" s="161"/>
      <c r="AN105" s="81">
        <f t="shared" si="13"/>
        <v>0</v>
      </c>
      <c r="AO105" s="152"/>
      <c r="AP105" s="153"/>
      <c r="AQ105" s="160">
        <f t="shared" si="14"/>
        <v>0</v>
      </c>
      <c r="AR105" s="161"/>
      <c r="AS105" s="81">
        <f t="shared" si="15"/>
        <v>0</v>
      </c>
      <c r="AT105" s="152"/>
      <c r="AU105" s="153"/>
      <c r="AV105" s="160">
        <f t="shared" si="16"/>
        <v>0</v>
      </c>
      <c r="AW105" s="161"/>
      <c r="AX105" s="81">
        <f t="shared" si="17"/>
        <v>0</v>
      </c>
      <c r="AY105" s="152"/>
      <c r="AZ105" s="153"/>
      <c r="BA105" s="160">
        <f t="shared" si="18"/>
        <v>0</v>
      </c>
      <c r="BB105" s="161"/>
      <c r="BC105" s="81">
        <f t="shared" si="19"/>
        <v>0</v>
      </c>
      <c r="BD105" s="152"/>
      <c r="BE105" s="153"/>
      <c r="BF105" s="160">
        <f t="shared" si="20"/>
        <v>0</v>
      </c>
      <c r="BG105" s="161"/>
      <c r="BH105" s="81">
        <f t="shared" si="21"/>
        <v>0</v>
      </c>
      <c r="BI105" s="152"/>
      <c r="BJ105" s="153"/>
      <c r="BK105" s="160">
        <f t="shared" si="22"/>
        <v>0</v>
      </c>
      <c r="BL105" s="161"/>
      <c r="BM105" s="81">
        <f t="shared" si="23"/>
        <v>0</v>
      </c>
      <c r="BN105" s="152"/>
      <c r="BO105" s="153"/>
      <c r="BP105" s="160">
        <f t="shared" si="24"/>
        <v>0</v>
      </c>
      <c r="BQ105" s="161"/>
      <c r="BR105" s="81">
        <f t="shared" si="25"/>
        <v>0</v>
      </c>
      <c r="BS105" s="152"/>
      <c r="BT105" s="153"/>
      <c r="BU105" s="160">
        <f t="shared" si="26"/>
        <v>0</v>
      </c>
      <c r="BV105" s="161"/>
      <c r="BW105" s="81">
        <f t="shared" si="27"/>
        <v>0</v>
      </c>
    </row>
    <row r="106" spans="1:75" s="13" customFormat="1" ht="14.1" customHeight="1" x14ac:dyDescent="0.3">
      <c r="A106" s="78"/>
      <c r="B106" s="208" t="str">
        <f>IF(ISBLANK($Q$29),"",VLOOKUP($Q$29,instellingsgegevens!$A$2:$AX$495,31,FALSE))</f>
        <v/>
      </c>
      <c r="C106" s="209"/>
      <c r="D106" s="209"/>
      <c r="E106" s="210"/>
      <c r="F106" s="152"/>
      <c r="G106" s="153"/>
      <c r="H106" s="162">
        <f t="shared" si="28"/>
        <v>0</v>
      </c>
      <c r="I106" s="163"/>
      <c r="J106" s="81">
        <f t="shared" si="1"/>
        <v>0</v>
      </c>
      <c r="K106" s="152"/>
      <c r="L106" s="153"/>
      <c r="M106" s="160">
        <f t="shared" si="2"/>
        <v>0</v>
      </c>
      <c r="N106" s="161"/>
      <c r="O106" s="81">
        <f t="shared" si="3"/>
        <v>0</v>
      </c>
      <c r="P106" s="152"/>
      <c r="Q106" s="153"/>
      <c r="R106" s="160">
        <f t="shared" si="4"/>
        <v>0</v>
      </c>
      <c r="S106" s="161"/>
      <c r="T106" s="81">
        <f t="shared" si="5"/>
        <v>0</v>
      </c>
      <c r="U106" s="152"/>
      <c r="V106" s="153"/>
      <c r="W106" s="160">
        <f t="shared" si="6"/>
        <v>0</v>
      </c>
      <c r="X106" s="161"/>
      <c r="Y106" s="81">
        <f t="shared" si="7"/>
        <v>0</v>
      </c>
      <c r="Z106" s="152"/>
      <c r="AA106" s="153"/>
      <c r="AB106" s="160">
        <f t="shared" si="8"/>
        <v>0</v>
      </c>
      <c r="AC106" s="161"/>
      <c r="AD106" s="81">
        <f t="shared" si="9"/>
        <v>0</v>
      </c>
      <c r="AE106" s="152"/>
      <c r="AF106" s="153"/>
      <c r="AG106" s="160">
        <f t="shared" si="10"/>
        <v>0</v>
      </c>
      <c r="AH106" s="161"/>
      <c r="AI106" s="81">
        <f t="shared" si="11"/>
        <v>0</v>
      </c>
      <c r="AJ106" s="152"/>
      <c r="AK106" s="153"/>
      <c r="AL106" s="160">
        <f t="shared" si="12"/>
        <v>0</v>
      </c>
      <c r="AM106" s="161"/>
      <c r="AN106" s="81">
        <f t="shared" si="13"/>
        <v>0</v>
      </c>
      <c r="AO106" s="152"/>
      <c r="AP106" s="153"/>
      <c r="AQ106" s="160">
        <f t="shared" si="14"/>
        <v>0</v>
      </c>
      <c r="AR106" s="161"/>
      <c r="AS106" s="81">
        <f t="shared" si="15"/>
        <v>0</v>
      </c>
      <c r="AT106" s="152"/>
      <c r="AU106" s="153"/>
      <c r="AV106" s="160">
        <f t="shared" si="16"/>
        <v>0</v>
      </c>
      <c r="AW106" s="161"/>
      <c r="AX106" s="81">
        <f t="shared" si="17"/>
        <v>0</v>
      </c>
      <c r="AY106" s="152"/>
      <c r="AZ106" s="153"/>
      <c r="BA106" s="160">
        <f t="shared" si="18"/>
        <v>0</v>
      </c>
      <c r="BB106" s="161"/>
      <c r="BC106" s="81">
        <f t="shared" si="19"/>
        <v>0</v>
      </c>
      <c r="BD106" s="152"/>
      <c r="BE106" s="153"/>
      <c r="BF106" s="160">
        <f t="shared" si="20"/>
        <v>0</v>
      </c>
      <c r="BG106" s="161"/>
      <c r="BH106" s="81">
        <f t="shared" si="21"/>
        <v>0</v>
      </c>
      <c r="BI106" s="152"/>
      <c r="BJ106" s="153"/>
      <c r="BK106" s="160">
        <f t="shared" si="22"/>
        <v>0</v>
      </c>
      <c r="BL106" s="161"/>
      <c r="BM106" s="81">
        <f t="shared" si="23"/>
        <v>0</v>
      </c>
      <c r="BN106" s="152"/>
      <c r="BO106" s="153"/>
      <c r="BP106" s="160">
        <f t="shared" si="24"/>
        <v>0</v>
      </c>
      <c r="BQ106" s="161"/>
      <c r="BR106" s="81">
        <f t="shared" si="25"/>
        <v>0</v>
      </c>
      <c r="BS106" s="152"/>
      <c r="BT106" s="153"/>
      <c r="BU106" s="160">
        <f t="shared" si="26"/>
        <v>0</v>
      </c>
      <c r="BV106" s="161"/>
      <c r="BW106" s="81">
        <f t="shared" si="27"/>
        <v>0</v>
      </c>
    </row>
    <row r="107" spans="1:75" s="13" customFormat="1" ht="14.1" customHeight="1" x14ac:dyDescent="0.3">
      <c r="A107" s="78"/>
      <c r="B107" s="208" t="str">
        <f>IF(ISBLANK($Q$29),"",VLOOKUP($Q$29,instellingsgegevens!$A$2:$AX$495,32,FALSE))</f>
        <v/>
      </c>
      <c r="C107" s="209"/>
      <c r="D107" s="209"/>
      <c r="E107" s="210"/>
      <c r="F107" s="152"/>
      <c r="G107" s="153"/>
      <c r="H107" s="162">
        <f t="shared" ref="H107:H115" si="29">F107*1.5</f>
        <v>0</v>
      </c>
      <c r="I107" s="163"/>
      <c r="J107" s="81">
        <f t="shared" si="1"/>
        <v>0</v>
      </c>
      <c r="K107" s="152"/>
      <c r="L107" s="153"/>
      <c r="M107" s="160">
        <f t="shared" si="2"/>
        <v>0</v>
      </c>
      <c r="N107" s="161"/>
      <c r="O107" s="81">
        <f t="shared" si="3"/>
        <v>0</v>
      </c>
      <c r="P107" s="152"/>
      <c r="Q107" s="153"/>
      <c r="R107" s="160">
        <f t="shared" si="4"/>
        <v>0</v>
      </c>
      <c r="S107" s="161"/>
      <c r="T107" s="81">
        <f t="shared" si="5"/>
        <v>0</v>
      </c>
      <c r="U107" s="152"/>
      <c r="V107" s="153"/>
      <c r="W107" s="160">
        <f t="shared" si="6"/>
        <v>0</v>
      </c>
      <c r="X107" s="161"/>
      <c r="Y107" s="81">
        <f t="shared" si="7"/>
        <v>0</v>
      </c>
      <c r="Z107" s="152"/>
      <c r="AA107" s="153"/>
      <c r="AB107" s="160">
        <f t="shared" si="8"/>
        <v>0</v>
      </c>
      <c r="AC107" s="161"/>
      <c r="AD107" s="81">
        <f t="shared" si="9"/>
        <v>0</v>
      </c>
      <c r="AE107" s="152"/>
      <c r="AF107" s="153"/>
      <c r="AG107" s="160">
        <f t="shared" si="10"/>
        <v>0</v>
      </c>
      <c r="AH107" s="161"/>
      <c r="AI107" s="81">
        <f t="shared" si="11"/>
        <v>0</v>
      </c>
      <c r="AJ107" s="152"/>
      <c r="AK107" s="153"/>
      <c r="AL107" s="160">
        <f t="shared" si="12"/>
        <v>0</v>
      </c>
      <c r="AM107" s="161"/>
      <c r="AN107" s="81">
        <f t="shared" si="13"/>
        <v>0</v>
      </c>
      <c r="AO107" s="152"/>
      <c r="AP107" s="153"/>
      <c r="AQ107" s="160">
        <f t="shared" si="14"/>
        <v>0</v>
      </c>
      <c r="AR107" s="161"/>
      <c r="AS107" s="81">
        <f t="shared" si="15"/>
        <v>0</v>
      </c>
      <c r="AT107" s="152"/>
      <c r="AU107" s="153"/>
      <c r="AV107" s="160">
        <f t="shared" si="16"/>
        <v>0</v>
      </c>
      <c r="AW107" s="161"/>
      <c r="AX107" s="81">
        <f t="shared" si="17"/>
        <v>0</v>
      </c>
      <c r="AY107" s="152"/>
      <c r="AZ107" s="153"/>
      <c r="BA107" s="160">
        <f t="shared" si="18"/>
        <v>0</v>
      </c>
      <c r="BB107" s="161"/>
      <c r="BC107" s="81">
        <f t="shared" si="19"/>
        <v>0</v>
      </c>
      <c r="BD107" s="152"/>
      <c r="BE107" s="153"/>
      <c r="BF107" s="160">
        <f t="shared" si="20"/>
        <v>0</v>
      </c>
      <c r="BG107" s="161"/>
      <c r="BH107" s="81">
        <f t="shared" si="21"/>
        <v>0</v>
      </c>
      <c r="BI107" s="152"/>
      <c r="BJ107" s="153"/>
      <c r="BK107" s="160">
        <f t="shared" si="22"/>
        <v>0</v>
      </c>
      <c r="BL107" s="161"/>
      <c r="BM107" s="81">
        <f t="shared" si="23"/>
        <v>0</v>
      </c>
      <c r="BN107" s="152"/>
      <c r="BO107" s="153"/>
      <c r="BP107" s="160">
        <f t="shared" si="24"/>
        <v>0</v>
      </c>
      <c r="BQ107" s="161"/>
      <c r="BR107" s="81">
        <f t="shared" si="25"/>
        <v>0</v>
      </c>
      <c r="BS107" s="152"/>
      <c r="BT107" s="153"/>
      <c r="BU107" s="160">
        <f t="shared" si="26"/>
        <v>0</v>
      </c>
      <c r="BV107" s="161"/>
      <c r="BW107" s="81">
        <f t="shared" si="27"/>
        <v>0</v>
      </c>
    </row>
    <row r="108" spans="1:75" s="13" customFormat="1" ht="14.1" customHeight="1" x14ac:dyDescent="0.3">
      <c r="A108" s="78"/>
      <c r="B108" s="208" t="str">
        <f>IF(ISBLANK($Q$29),"",VLOOKUP($Q$29,instellingsgegevens!$A$2:$AX$495,33,FALSE))</f>
        <v/>
      </c>
      <c r="C108" s="209"/>
      <c r="D108" s="209"/>
      <c r="E108" s="210"/>
      <c r="F108" s="152"/>
      <c r="G108" s="153"/>
      <c r="H108" s="162">
        <f t="shared" si="29"/>
        <v>0</v>
      </c>
      <c r="I108" s="163"/>
      <c r="J108" s="81">
        <f t="shared" si="1"/>
        <v>0</v>
      </c>
      <c r="K108" s="152"/>
      <c r="L108" s="153"/>
      <c r="M108" s="160">
        <f t="shared" si="2"/>
        <v>0</v>
      </c>
      <c r="N108" s="161"/>
      <c r="O108" s="81">
        <f t="shared" si="3"/>
        <v>0</v>
      </c>
      <c r="P108" s="152"/>
      <c r="Q108" s="153"/>
      <c r="R108" s="160">
        <f t="shared" si="4"/>
        <v>0</v>
      </c>
      <c r="S108" s="161"/>
      <c r="T108" s="81">
        <f t="shared" si="5"/>
        <v>0</v>
      </c>
      <c r="U108" s="152"/>
      <c r="V108" s="153"/>
      <c r="W108" s="160">
        <f t="shared" si="6"/>
        <v>0</v>
      </c>
      <c r="X108" s="161"/>
      <c r="Y108" s="81">
        <f t="shared" si="7"/>
        <v>0</v>
      </c>
      <c r="Z108" s="152"/>
      <c r="AA108" s="153"/>
      <c r="AB108" s="160">
        <f t="shared" si="8"/>
        <v>0</v>
      </c>
      <c r="AC108" s="161"/>
      <c r="AD108" s="81">
        <f t="shared" si="9"/>
        <v>0</v>
      </c>
      <c r="AE108" s="152"/>
      <c r="AF108" s="153"/>
      <c r="AG108" s="160">
        <f t="shared" si="10"/>
        <v>0</v>
      </c>
      <c r="AH108" s="161"/>
      <c r="AI108" s="81">
        <f t="shared" si="11"/>
        <v>0</v>
      </c>
      <c r="AJ108" s="152"/>
      <c r="AK108" s="153"/>
      <c r="AL108" s="160">
        <f t="shared" si="12"/>
        <v>0</v>
      </c>
      <c r="AM108" s="161"/>
      <c r="AN108" s="81">
        <f t="shared" si="13"/>
        <v>0</v>
      </c>
      <c r="AO108" s="152"/>
      <c r="AP108" s="153"/>
      <c r="AQ108" s="160">
        <f t="shared" si="14"/>
        <v>0</v>
      </c>
      <c r="AR108" s="161"/>
      <c r="AS108" s="81">
        <f t="shared" si="15"/>
        <v>0</v>
      </c>
      <c r="AT108" s="152"/>
      <c r="AU108" s="153"/>
      <c r="AV108" s="160">
        <f t="shared" si="16"/>
        <v>0</v>
      </c>
      <c r="AW108" s="161"/>
      <c r="AX108" s="81">
        <f t="shared" si="17"/>
        <v>0</v>
      </c>
      <c r="AY108" s="152"/>
      <c r="AZ108" s="153"/>
      <c r="BA108" s="160">
        <f t="shared" si="18"/>
        <v>0</v>
      </c>
      <c r="BB108" s="161"/>
      <c r="BC108" s="81">
        <f t="shared" si="19"/>
        <v>0</v>
      </c>
      <c r="BD108" s="152"/>
      <c r="BE108" s="153"/>
      <c r="BF108" s="160">
        <f t="shared" si="20"/>
        <v>0</v>
      </c>
      <c r="BG108" s="161"/>
      <c r="BH108" s="81">
        <f t="shared" si="21"/>
        <v>0</v>
      </c>
      <c r="BI108" s="152"/>
      <c r="BJ108" s="153"/>
      <c r="BK108" s="160">
        <f t="shared" si="22"/>
        <v>0</v>
      </c>
      <c r="BL108" s="161"/>
      <c r="BM108" s="81">
        <f t="shared" si="23"/>
        <v>0</v>
      </c>
      <c r="BN108" s="152"/>
      <c r="BO108" s="153"/>
      <c r="BP108" s="160">
        <f t="shared" si="24"/>
        <v>0</v>
      </c>
      <c r="BQ108" s="161"/>
      <c r="BR108" s="81">
        <f t="shared" si="25"/>
        <v>0</v>
      </c>
      <c r="BS108" s="152"/>
      <c r="BT108" s="153"/>
      <c r="BU108" s="160">
        <f t="shared" si="26"/>
        <v>0</v>
      </c>
      <c r="BV108" s="161"/>
      <c r="BW108" s="81">
        <f t="shared" si="27"/>
        <v>0</v>
      </c>
    </row>
    <row r="109" spans="1:75" s="13" customFormat="1" ht="14.1" customHeight="1" x14ac:dyDescent="0.3">
      <c r="A109" s="78"/>
      <c r="B109" s="208" t="str">
        <f>IF(ISBLANK($Q$29),"",VLOOKUP($Q$29,instellingsgegevens!$A$2:$AX$495,34,FALSE))</f>
        <v/>
      </c>
      <c r="C109" s="209"/>
      <c r="D109" s="209"/>
      <c r="E109" s="210"/>
      <c r="F109" s="152"/>
      <c r="G109" s="153"/>
      <c r="H109" s="162">
        <f t="shared" si="29"/>
        <v>0</v>
      </c>
      <c r="I109" s="163"/>
      <c r="J109" s="81">
        <f t="shared" si="1"/>
        <v>0</v>
      </c>
      <c r="K109" s="152"/>
      <c r="L109" s="153"/>
      <c r="M109" s="160">
        <f t="shared" si="2"/>
        <v>0</v>
      </c>
      <c r="N109" s="161"/>
      <c r="O109" s="81">
        <f t="shared" si="3"/>
        <v>0</v>
      </c>
      <c r="P109" s="152"/>
      <c r="Q109" s="153"/>
      <c r="R109" s="160">
        <f t="shared" si="4"/>
        <v>0</v>
      </c>
      <c r="S109" s="161"/>
      <c r="T109" s="81">
        <f t="shared" si="5"/>
        <v>0</v>
      </c>
      <c r="U109" s="152"/>
      <c r="V109" s="153"/>
      <c r="W109" s="160">
        <f t="shared" si="6"/>
        <v>0</v>
      </c>
      <c r="X109" s="161"/>
      <c r="Y109" s="81">
        <f t="shared" si="7"/>
        <v>0</v>
      </c>
      <c r="Z109" s="152"/>
      <c r="AA109" s="153"/>
      <c r="AB109" s="160">
        <f t="shared" si="8"/>
        <v>0</v>
      </c>
      <c r="AC109" s="161"/>
      <c r="AD109" s="81">
        <f t="shared" si="9"/>
        <v>0</v>
      </c>
      <c r="AE109" s="152"/>
      <c r="AF109" s="153"/>
      <c r="AG109" s="160">
        <f t="shared" si="10"/>
        <v>0</v>
      </c>
      <c r="AH109" s="161"/>
      <c r="AI109" s="81">
        <f t="shared" si="11"/>
        <v>0</v>
      </c>
      <c r="AJ109" s="152"/>
      <c r="AK109" s="153"/>
      <c r="AL109" s="160">
        <f t="shared" si="12"/>
        <v>0</v>
      </c>
      <c r="AM109" s="161"/>
      <c r="AN109" s="81">
        <f t="shared" si="13"/>
        <v>0</v>
      </c>
      <c r="AO109" s="152"/>
      <c r="AP109" s="153"/>
      <c r="AQ109" s="160">
        <f t="shared" si="14"/>
        <v>0</v>
      </c>
      <c r="AR109" s="161"/>
      <c r="AS109" s="81">
        <f t="shared" si="15"/>
        <v>0</v>
      </c>
      <c r="AT109" s="152"/>
      <c r="AU109" s="153"/>
      <c r="AV109" s="160">
        <f t="shared" si="16"/>
        <v>0</v>
      </c>
      <c r="AW109" s="161"/>
      <c r="AX109" s="81">
        <f t="shared" si="17"/>
        <v>0</v>
      </c>
      <c r="AY109" s="152"/>
      <c r="AZ109" s="153"/>
      <c r="BA109" s="160">
        <f t="shared" si="18"/>
        <v>0</v>
      </c>
      <c r="BB109" s="161"/>
      <c r="BC109" s="81">
        <f t="shared" si="19"/>
        <v>0</v>
      </c>
      <c r="BD109" s="152"/>
      <c r="BE109" s="153"/>
      <c r="BF109" s="160">
        <f t="shared" si="20"/>
        <v>0</v>
      </c>
      <c r="BG109" s="161"/>
      <c r="BH109" s="81">
        <f t="shared" si="21"/>
        <v>0</v>
      </c>
      <c r="BI109" s="152"/>
      <c r="BJ109" s="153"/>
      <c r="BK109" s="160">
        <f t="shared" si="22"/>
        <v>0</v>
      </c>
      <c r="BL109" s="161"/>
      <c r="BM109" s="81">
        <f t="shared" si="23"/>
        <v>0</v>
      </c>
      <c r="BN109" s="152"/>
      <c r="BO109" s="153"/>
      <c r="BP109" s="160">
        <f t="shared" si="24"/>
        <v>0</v>
      </c>
      <c r="BQ109" s="161"/>
      <c r="BR109" s="81">
        <f t="shared" si="25"/>
        <v>0</v>
      </c>
      <c r="BS109" s="152"/>
      <c r="BT109" s="153"/>
      <c r="BU109" s="160">
        <f t="shared" si="26"/>
        <v>0</v>
      </c>
      <c r="BV109" s="161"/>
      <c r="BW109" s="81">
        <f t="shared" si="27"/>
        <v>0</v>
      </c>
    </row>
    <row r="110" spans="1:75" s="13" customFormat="1" ht="14.1" customHeight="1" x14ac:dyDescent="0.3">
      <c r="A110" s="78"/>
      <c r="B110" s="208" t="str">
        <f>IF(ISBLANK($Q$29),"",VLOOKUP($Q$29,instellingsgegevens!$A$2:$AX$495,35,FALSE))</f>
        <v/>
      </c>
      <c r="C110" s="209"/>
      <c r="D110" s="209"/>
      <c r="E110" s="210"/>
      <c r="F110" s="152"/>
      <c r="G110" s="153"/>
      <c r="H110" s="162">
        <f>F110*1.5</f>
        <v>0</v>
      </c>
      <c r="I110" s="163"/>
      <c r="J110" s="81">
        <f t="shared" si="1"/>
        <v>0</v>
      </c>
      <c r="K110" s="152"/>
      <c r="L110" s="153"/>
      <c r="M110" s="160">
        <f t="shared" si="2"/>
        <v>0</v>
      </c>
      <c r="N110" s="161"/>
      <c r="O110" s="81">
        <f t="shared" si="3"/>
        <v>0</v>
      </c>
      <c r="P110" s="152"/>
      <c r="Q110" s="153"/>
      <c r="R110" s="160">
        <f t="shared" si="4"/>
        <v>0</v>
      </c>
      <c r="S110" s="161"/>
      <c r="T110" s="81">
        <f t="shared" si="5"/>
        <v>0</v>
      </c>
      <c r="U110" s="152"/>
      <c r="V110" s="153"/>
      <c r="W110" s="160">
        <f t="shared" si="6"/>
        <v>0</v>
      </c>
      <c r="X110" s="161"/>
      <c r="Y110" s="81">
        <f t="shared" si="7"/>
        <v>0</v>
      </c>
      <c r="Z110" s="152"/>
      <c r="AA110" s="153"/>
      <c r="AB110" s="160">
        <f t="shared" si="8"/>
        <v>0</v>
      </c>
      <c r="AC110" s="161"/>
      <c r="AD110" s="81">
        <f t="shared" si="9"/>
        <v>0</v>
      </c>
      <c r="AE110" s="152"/>
      <c r="AF110" s="153"/>
      <c r="AG110" s="160">
        <f t="shared" si="10"/>
        <v>0</v>
      </c>
      <c r="AH110" s="161"/>
      <c r="AI110" s="81">
        <f t="shared" si="11"/>
        <v>0</v>
      </c>
      <c r="AJ110" s="152"/>
      <c r="AK110" s="153"/>
      <c r="AL110" s="160">
        <f t="shared" si="12"/>
        <v>0</v>
      </c>
      <c r="AM110" s="161"/>
      <c r="AN110" s="81">
        <f t="shared" si="13"/>
        <v>0</v>
      </c>
      <c r="AO110" s="152"/>
      <c r="AP110" s="153"/>
      <c r="AQ110" s="160">
        <f t="shared" si="14"/>
        <v>0</v>
      </c>
      <c r="AR110" s="161"/>
      <c r="AS110" s="81">
        <f t="shared" si="15"/>
        <v>0</v>
      </c>
      <c r="AT110" s="152"/>
      <c r="AU110" s="153"/>
      <c r="AV110" s="160">
        <f t="shared" si="16"/>
        <v>0</v>
      </c>
      <c r="AW110" s="161"/>
      <c r="AX110" s="81">
        <f t="shared" si="17"/>
        <v>0</v>
      </c>
      <c r="AY110" s="152"/>
      <c r="AZ110" s="153"/>
      <c r="BA110" s="160">
        <f t="shared" si="18"/>
        <v>0</v>
      </c>
      <c r="BB110" s="161"/>
      <c r="BC110" s="81">
        <f t="shared" si="19"/>
        <v>0</v>
      </c>
      <c r="BD110" s="152"/>
      <c r="BE110" s="153"/>
      <c r="BF110" s="160">
        <f t="shared" si="20"/>
        <v>0</v>
      </c>
      <c r="BG110" s="161"/>
      <c r="BH110" s="81">
        <f t="shared" si="21"/>
        <v>0</v>
      </c>
      <c r="BI110" s="152"/>
      <c r="BJ110" s="153"/>
      <c r="BK110" s="160">
        <f t="shared" si="22"/>
        <v>0</v>
      </c>
      <c r="BL110" s="161"/>
      <c r="BM110" s="81">
        <f t="shared" si="23"/>
        <v>0</v>
      </c>
      <c r="BN110" s="152"/>
      <c r="BO110" s="153"/>
      <c r="BP110" s="160">
        <f t="shared" si="24"/>
        <v>0</v>
      </c>
      <c r="BQ110" s="161"/>
      <c r="BR110" s="81">
        <f t="shared" si="25"/>
        <v>0</v>
      </c>
      <c r="BS110" s="152"/>
      <c r="BT110" s="153"/>
      <c r="BU110" s="160">
        <f t="shared" si="26"/>
        <v>0</v>
      </c>
      <c r="BV110" s="161"/>
      <c r="BW110" s="81">
        <f t="shared" si="27"/>
        <v>0</v>
      </c>
    </row>
    <row r="111" spans="1:75" s="13" customFormat="1" ht="14.1" customHeight="1" x14ac:dyDescent="0.3">
      <c r="A111" s="78"/>
      <c r="B111" s="208" t="str">
        <f>IF(ISBLANK($Q$29),"",VLOOKUP($Q$29,instellingsgegevens!$A$2:$AX$495,36,FALSE))</f>
        <v/>
      </c>
      <c r="C111" s="209"/>
      <c r="D111" s="209"/>
      <c r="E111" s="210"/>
      <c r="F111" s="152"/>
      <c r="G111" s="153"/>
      <c r="H111" s="162">
        <f>F111*1.5</f>
        <v>0</v>
      </c>
      <c r="I111" s="163"/>
      <c r="J111" s="81">
        <f t="shared" si="1"/>
        <v>0</v>
      </c>
      <c r="K111" s="152"/>
      <c r="L111" s="153"/>
      <c r="M111" s="160">
        <f t="shared" si="2"/>
        <v>0</v>
      </c>
      <c r="N111" s="161"/>
      <c r="O111" s="81">
        <f t="shared" si="3"/>
        <v>0</v>
      </c>
      <c r="P111" s="152"/>
      <c r="Q111" s="153"/>
      <c r="R111" s="160">
        <f t="shared" si="4"/>
        <v>0</v>
      </c>
      <c r="S111" s="161"/>
      <c r="T111" s="81">
        <f t="shared" si="5"/>
        <v>0</v>
      </c>
      <c r="U111" s="152"/>
      <c r="V111" s="153"/>
      <c r="W111" s="160">
        <f t="shared" si="6"/>
        <v>0</v>
      </c>
      <c r="X111" s="161"/>
      <c r="Y111" s="81">
        <f t="shared" si="7"/>
        <v>0</v>
      </c>
      <c r="Z111" s="152"/>
      <c r="AA111" s="153"/>
      <c r="AB111" s="160">
        <f t="shared" si="8"/>
        <v>0</v>
      </c>
      <c r="AC111" s="161"/>
      <c r="AD111" s="81">
        <f t="shared" si="9"/>
        <v>0</v>
      </c>
      <c r="AE111" s="152"/>
      <c r="AF111" s="153"/>
      <c r="AG111" s="160">
        <f t="shared" si="10"/>
        <v>0</v>
      </c>
      <c r="AH111" s="161"/>
      <c r="AI111" s="81">
        <f t="shared" si="11"/>
        <v>0</v>
      </c>
      <c r="AJ111" s="152"/>
      <c r="AK111" s="153"/>
      <c r="AL111" s="160">
        <f t="shared" si="12"/>
        <v>0</v>
      </c>
      <c r="AM111" s="161"/>
      <c r="AN111" s="81">
        <f t="shared" si="13"/>
        <v>0</v>
      </c>
      <c r="AO111" s="152"/>
      <c r="AP111" s="153"/>
      <c r="AQ111" s="160">
        <f t="shared" si="14"/>
        <v>0</v>
      </c>
      <c r="AR111" s="161"/>
      <c r="AS111" s="81">
        <f t="shared" si="15"/>
        <v>0</v>
      </c>
      <c r="AT111" s="152"/>
      <c r="AU111" s="153"/>
      <c r="AV111" s="160">
        <f t="shared" si="16"/>
        <v>0</v>
      </c>
      <c r="AW111" s="161"/>
      <c r="AX111" s="81">
        <f t="shared" si="17"/>
        <v>0</v>
      </c>
      <c r="AY111" s="152"/>
      <c r="AZ111" s="153"/>
      <c r="BA111" s="160">
        <f t="shared" si="18"/>
        <v>0</v>
      </c>
      <c r="BB111" s="161"/>
      <c r="BC111" s="81">
        <f t="shared" si="19"/>
        <v>0</v>
      </c>
      <c r="BD111" s="152"/>
      <c r="BE111" s="153"/>
      <c r="BF111" s="160">
        <f t="shared" si="20"/>
        <v>0</v>
      </c>
      <c r="BG111" s="161"/>
      <c r="BH111" s="81">
        <f t="shared" si="21"/>
        <v>0</v>
      </c>
      <c r="BI111" s="152"/>
      <c r="BJ111" s="153"/>
      <c r="BK111" s="160">
        <f t="shared" si="22"/>
        <v>0</v>
      </c>
      <c r="BL111" s="161"/>
      <c r="BM111" s="81">
        <f t="shared" si="23"/>
        <v>0</v>
      </c>
      <c r="BN111" s="152"/>
      <c r="BO111" s="153"/>
      <c r="BP111" s="160">
        <f t="shared" si="24"/>
        <v>0</v>
      </c>
      <c r="BQ111" s="161"/>
      <c r="BR111" s="81">
        <f t="shared" si="25"/>
        <v>0</v>
      </c>
      <c r="BS111" s="152"/>
      <c r="BT111" s="153"/>
      <c r="BU111" s="160">
        <f t="shared" si="26"/>
        <v>0</v>
      </c>
      <c r="BV111" s="161"/>
      <c r="BW111" s="81">
        <f t="shared" si="27"/>
        <v>0</v>
      </c>
    </row>
    <row r="112" spans="1:75" s="13" customFormat="1" ht="14.1" customHeight="1" x14ac:dyDescent="0.3">
      <c r="A112" s="78"/>
      <c r="B112" s="208" t="str">
        <f>IF(ISBLANK($Q$29),"",VLOOKUP($Q$29,instellingsgegevens!$A$2:$AX$495,37,FALSE))</f>
        <v/>
      </c>
      <c r="C112" s="209"/>
      <c r="D112" s="209"/>
      <c r="E112" s="210"/>
      <c r="F112" s="152"/>
      <c r="G112" s="153"/>
      <c r="H112" s="162">
        <f>F112*1.5</f>
        <v>0</v>
      </c>
      <c r="I112" s="163"/>
      <c r="J112" s="81">
        <f t="shared" si="1"/>
        <v>0</v>
      </c>
      <c r="K112" s="152"/>
      <c r="L112" s="153"/>
      <c r="M112" s="160">
        <f t="shared" si="2"/>
        <v>0</v>
      </c>
      <c r="N112" s="161"/>
      <c r="O112" s="81">
        <f t="shared" si="3"/>
        <v>0</v>
      </c>
      <c r="P112" s="152"/>
      <c r="Q112" s="153"/>
      <c r="R112" s="160">
        <f t="shared" si="4"/>
        <v>0</v>
      </c>
      <c r="S112" s="161"/>
      <c r="T112" s="81">
        <f t="shared" si="5"/>
        <v>0</v>
      </c>
      <c r="U112" s="152"/>
      <c r="V112" s="153"/>
      <c r="W112" s="160">
        <f t="shared" si="6"/>
        <v>0</v>
      </c>
      <c r="X112" s="161"/>
      <c r="Y112" s="81">
        <f t="shared" si="7"/>
        <v>0</v>
      </c>
      <c r="Z112" s="152"/>
      <c r="AA112" s="153"/>
      <c r="AB112" s="160">
        <f t="shared" si="8"/>
        <v>0</v>
      </c>
      <c r="AC112" s="161"/>
      <c r="AD112" s="81">
        <f t="shared" si="9"/>
        <v>0</v>
      </c>
      <c r="AE112" s="152"/>
      <c r="AF112" s="153"/>
      <c r="AG112" s="160">
        <f t="shared" si="10"/>
        <v>0</v>
      </c>
      <c r="AH112" s="161"/>
      <c r="AI112" s="81">
        <f t="shared" si="11"/>
        <v>0</v>
      </c>
      <c r="AJ112" s="152"/>
      <c r="AK112" s="153"/>
      <c r="AL112" s="160">
        <f t="shared" si="12"/>
        <v>0</v>
      </c>
      <c r="AM112" s="161"/>
      <c r="AN112" s="81">
        <f t="shared" si="13"/>
        <v>0</v>
      </c>
      <c r="AO112" s="152"/>
      <c r="AP112" s="153"/>
      <c r="AQ112" s="160">
        <f t="shared" si="14"/>
        <v>0</v>
      </c>
      <c r="AR112" s="161"/>
      <c r="AS112" s="81">
        <f t="shared" si="15"/>
        <v>0</v>
      </c>
      <c r="AT112" s="152"/>
      <c r="AU112" s="153"/>
      <c r="AV112" s="160">
        <f t="shared" si="16"/>
        <v>0</v>
      </c>
      <c r="AW112" s="161"/>
      <c r="AX112" s="81">
        <f t="shared" si="17"/>
        <v>0</v>
      </c>
      <c r="AY112" s="152"/>
      <c r="AZ112" s="153"/>
      <c r="BA112" s="160">
        <f t="shared" si="18"/>
        <v>0</v>
      </c>
      <c r="BB112" s="161"/>
      <c r="BC112" s="81">
        <f t="shared" si="19"/>
        <v>0</v>
      </c>
      <c r="BD112" s="152"/>
      <c r="BE112" s="153"/>
      <c r="BF112" s="160">
        <f t="shared" si="20"/>
        <v>0</v>
      </c>
      <c r="BG112" s="161"/>
      <c r="BH112" s="81">
        <f t="shared" si="21"/>
        <v>0</v>
      </c>
      <c r="BI112" s="152"/>
      <c r="BJ112" s="153"/>
      <c r="BK112" s="160">
        <f t="shared" si="22"/>
        <v>0</v>
      </c>
      <c r="BL112" s="161"/>
      <c r="BM112" s="81">
        <f t="shared" si="23"/>
        <v>0</v>
      </c>
      <c r="BN112" s="152"/>
      <c r="BO112" s="153"/>
      <c r="BP112" s="160">
        <f t="shared" si="24"/>
        <v>0</v>
      </c>
      <c r="BQ112" s="161"/>
      <c r="BR112" s="81">
        <f t="shared" si="25"/>
        <v>0</v>
      </c>
      <c r="BS112" s="152"/>
      <c r="BT112" s="153"/>
      <c r="BU112" s="160">
        <f t="shared" si="26"/>
        <v>0</v>
      </c>
      <c r="BV112" s="161"/>
      <c r="BW112" s="81">
        <f t="shared" si="27"/>
        <v>0</v>
      </c>
    </row>
    <row r="113" spans="1:75" s="13" customFormat="1" ht="14.1" customHeight="1" x14ac:dyDescent="0.3">
      <c r="A113" s="78"/>
      <c r="B113" s="208" t="str">
        <f>IF(ISBLANK($Q$29),"",VLOOKUP($Q$29,instellingsgegevens!$A$2:$AX$495,38,FALSE))</f>
        <v/>
      </c>
      <c r="C113" s="209"/>
      <c r="D113" s="209"/>
      <c r="E113" s="210"/>
      <c r="F113" s="152"/>
      <c r="G113" s="153"/>
      <c r="H113" s="162">
        <f>F113*1.5</f>
        <v>0</v>
      </c>
      <c r="I113" s="163"/>
      <c r="J113" s="81">
        <f t="shared" si="1"/>
        <v>0</v>
      </c>
      <c r="K113" s="152"/>
      <c r="L113" s="153"/>
      <c r="M113" s="160">
        <f t="shared" si="2"/>
        <v>0</v>
      </c>
      <c r="N113" s="161"/>
      <c r="O113" s="81">
        <f t="shared" si="3"/>
        <v>0</v>
      </c>
      <c r="P113" s="152"/>
      <c r="Q113" s="153"/>
      <c r="R113" s="160">
        <f t="shared" si="4"/>
        <v>0</v>
      </c>
      <c r="S113" s="161"/>
      <c r="T113" s="81">
        <f t="shared" si="5"/>
        <v>0</v>
      </c>
      <c r="U113" s="152"/>
      <c r="V113" s="153"/>
      <c r="W113" s="160">
        <f t="shared" si="6"/>
        <v>0</v>
      </c>
      <c r="X113" s="161"/>
      <c r="Y113" s="81">
        <f t="shared" si="7"/>
        <v>0</v>
      </c>
      <c r="Z113" s="152"/>
      <c r="AA113" s="153"/>
      <c r="AB113" s="160">
        <f t="shared" si="8"/>
        <v>0</v>
      </c>
      <c r="AC113" s="161"/>
      <c r="AD113" s="81">
        <f t="shared" si="9"/>
        <v>0</v>
      </c>
      <c r="AE113" s="152"/>
      <c r="AF113" s="153"/>
      <c r="AG113" s="160">
        <f t="shared" si="10"/>
        <v>0</v>
      </c>
      <c r="AH113" s="161"/>
      <c r="AI113" s="81">
        <f t="shared" si="11"/>
        <v>0</v>
      </c>
      <c r="AJ113" s="152"/>
      <c r="AK113" s="153"/>
      <c r="AL113" s="160">
        <f t="shared" si="12"/>
        <v>0</v>
      </c>
      <c r="AM113" s="161"/>
      <c r="AN113" s="81">
        <f t="shared" si="13"/>
        <v>0</v>
      </c>
      <c r="AO113" s="152"/>
      <c r="AP113" s="153"/>
      <c r="AQ113" s="160">
        <f t="shared" si="14"/>
        <v>0</v>
      </c>
      <c r="AR113" s="161"/>
      <c r="AS113" s="81">
        <f t="shared" si="15"/>
        <v>0</v>
      </c>
      <c r="AT113" s="152"/>
      <c r="AU113" s="153"/>
      <c r="AV113" s="160">
        <f t="shared" si="16"/>
        <v>0</v>
      </c>
      <c r="AW113" s="161"/>
      <c r="AX113" s="81">
        <f t="shared" si="17"/>
        <v>0</v>
      </c>
      <c r="AY113" s="152"/>
      <c r="AZ113" s="153"/>
      <c r="BA113" s="160">
        <f t="shared" si="18"/>
        <v>0</v>
      </c>
      <c r="BB113" s="161"/>
      <c r="BC113" s="81">
        <f t="shared" si="19"/>
        <v>0</v>
      </c>
      <c r="BD113" s="152"/>
      <c r="BE113" s="153"/>
      <c r="BF113" s="160">
        <f t="shared" si="20"/>
        <v>0</v>
      </c>
      <c r="BG113" s="161"/>
      <c r="BH113" s="81">
        <f t="shared" si="21"/>
        <v>0</v>
      </c>
      <c r="BI113" s="152"/>
      <c r="BJ113" s="153"/>
      <c r="BK113" s="160">
        <f t="shared" si="22"/>
        <v>0</v>
      </c>
      <c r="BL113" s="161"/>
      <c r="BM113" s="81">
        <f t="shared" si="23"/>
        <v>0</v>
      </c>
      <c r="BN113" s="152"/>
      <c r="BO113" s="153"/>
      <c r="BP113" s="160">
        <f t="shared" si="24"/>
        <v>0</v>
      </c>
      <c r="BQ113" s="161"/>
      <c r="BR113" s="81">
        <f t="shared" si="25"/>
        <v>0</v>
      </c>
      <c r="BS113" s="152"/>
      <c r="BT113" s="153"/>
      <c r="BU113" s="160">
        <f t="shared" si="26"/>
        <v>0</v>
      </c>
      <c r="BV113" s="161"/>
      <c r="BW113" s="81">
        <f t="shared" si="27"/>
        <v>0</v>
      </c>
    </row>
    <row r="114" spans="1:75" s="13" customFormat="1" ht="14.1" customHeight="1" x14ac:dyDescent="0.3">
      <c r="A114" s="78"/>
      <c r="B114" s="208" t="str">
        <f>IF(ISBLANK($Q$29),"",VLOOKUP($Q$29,instellingsgegevens!$A$2:$AX$495,39,FALSE))</f>
        <v/>
      </c>
      <c r="C114" s="209"/>
      <c r="D114" s="209"/>
      <c r="E114" s="210"/>
      <c r="F114" s="152"/>
      <c r="G114" s="153"/>
      <c r="H114" s="162">
        <f>F114*1.5</f>
        <v>0</v>
      </c>
      <c r="I114" s="163"/>
      <c r="J114" s="81">
        <f t="shared" si="1"/>
        <v>0</v>
      </c>
      <c r="K114" s="152"/>
      <c r="L114" s="153"/>
      <c r="M114" s="160">
        <f t="shared" si="2"/>
        <v>0</v>
      </c>
      <c r="N114" s="161"/>
      <c r="O114" s="81">
        <f t="shared" si="3"/>
        <v>0</v>
      </c>
      <c r="P114" s="152"/>
      <c r="Q114" s="153"/>
      <c r="R114" s="160">
        <f t="shared" si="4"/>
        <v>0</v>
      </c>
      <c r="S114" s="161"/>
      <c r="T114" s="81">
        <f t="shared" si="5"/>
        <v>0</v>
      </c>
      <c r="U114" s="152"/>
      <c r="V114" s="153"/>
      <c r="W114" s="160">
        <f t="shared" si="6"/>
        <v>0</v>
      </c>
      <c r="X114" s="161"/>
      <c r="Y114" s="81">
        <f t="shared" si="7"/>
        <v>0</v>
      </c>
      <c r="Z114" s="152"/>
      <c r="AA114" s="153"/>
      <c r="AB114" s="160">
        <f t="shared" si="8"/>
        <v>0</v>
      </c>
      <c r="AC114" s="161"/>
      <c r="AD114" s="81">
        <f t="shared" si="9"/>
        <v>0</v>
      </c>
      <c r="AE114" s="152"/>
      <c r="AF114" s="153"/>
      <c r="AG114" s="160">
        <f t="shared" si="10"/>
        <v>0</v>
      </c>
      <c r="AH114" s="161"/>
      <c r="AI114" s="81">
        <f t="shared" si="11"/>
        <v>0</v>
      </c>
      <c r="AJ114" s="152"/>
      <c r="AK114" s="153"/>
      <c r="AL114" s="160">
        <f t="shared" si="12"/>
        <v>0</v>
      </c>
      <c r="AM114" s="161"/>
      <c r="AN114" s="81">
        <f t="shared" si="13"/>
        <v>0</v>
      </c>
      <c r="AO114" s="152"/>
      <c r="AP114" s="153"/>
      <c r="AQ114" s="160">
        <f t="shared" si="14"/>
        <v>0</v>
      </c>
      <c r="AR114" s="161"/>
      <c r="AS114" s="81">
        <f t="shared" si="15"/>
        <v>0</v>
      </c>
      <c r="AT114" s="152"/>
      <c r="AU114" s="153"/>
      <c r="AV114" s="160">
        <f t="shared" si="16"/>
        <v>0</v>
      </c>
      <c r="AW114" s="161"/>
      <c r="AX114" s="81">
        <f t="shared" si="17"/>
        <v>0</v>
      </c>
      <c r="AY114" s="152"/>
      <c r="AZ114" s="153"/>
      <c r="BA114" s="160">
        <f t="shared" si="18"/>
        <v>0</v>
      </c>
      <c r="BB114" s="161"/>
      <c r="BC114" s="81">
        <f t="shared" si="19"/>
        <v>0</v>
      </c>
      <c r="BD114" s="152"/>
      <c r="BE114" s="153"/>
      <c r="BF114" s="160">
        <f t="shared" si="20"/>
        <v>0</v>
      </c>
      <c r="BG114" s="161"/>
      <c r="BH114" s="81">
        <f t="shared" si="21"/>
        <v>0</v>
      </c>
      <c r="BI114" s="152"/>
      <c r="BJ114" s="153"/>
      <c r="BK114" s="160">
        <f t="shared" si="22"/>
        <v>0</v>
      </c>
      <c r="BL114" s="161"/>
      <c r="BM114" s="81">
        <f t="shared" si="23"/>
        <v>0</v>
      </c>
      <c r="BN114" s="152"/>
      <c r="BO114" s="153"/>
      <c r="BP114" s="160">
        <f t="shared" si="24"/>
        <v>0</v>
      </c>
      <c r="BQ114" s="161"/>
      <c r="BR114" s="81">
        <f t="shared" si="25"/>
        <v>0</v>
      </c>
      <c r="BS114" s="152"/>
      <c r="BT114" s="153"/>
      <c r="BU114" s="160">
        <f t="shared" si="26"/>
        <v>0</v>
      </c>
      <c r="BV114" s="161"/>
      <c r="BW114" s="81">
        <f t="shared" si="27"/>
        <v>0</v>
      </c>
    </row>
    <row r="115" spans="1:75" s="13" customFormat="1" ht="14.1" customHeight="1" x14ac:dyDescent="0.3">
      <c r="A115" s="78"/>
      <c r="B115" s="208" t="str">
        <f>IF(ISBLANK($Q$29),"",VLOOKUP($Q$29,instellingsgegevens!$A$2:$AX$495,40,FALSE))</f>
        <v/>
      </c>
      <c r="C115" s="209"/>
      <c r="D115" s="209"/>
      <c r="E115" s="210"/>
      <c r="F115" s="152"/>
      <c r="G115" s="153"/>
      <c r="H115" s="162">
        <f t="shared" si="29"/>
        <v>0</v>
      </c>
      <c r="I115" s="163"/>
      <c r="J115" s="81">
        <f t="shared" si="1"/>
        <v>0</v>
      </c>
      <c r="K115" s="152"/>
      <c r="L115" s="153"/>
      <c r="M115" s="160">
        <f t="shared" si="2"/>
        <v>0</v>
      </c>
      <c r="N115" s="161"/>
      <c r="O115" s="81">
        <f t="shared" si="3"/>
        <v>0</v>
      </c>
      <c r="P115" s="152"/>
      <c r="Q115" s="153"/>
      <c r="R115" s="160">
        <f t="shared" si="4"/>
        <v>0</v>
      </c>
      <c r="S115" s="161"/>
      <c r="T115" s="81">
        <f t="shared" si="5"/>
        <v>0</v>
      </c>
      <c r="U115" s="152"/>
      <c r="V115" s="153"/>
      <c r="W115" s="160">
        <f t="shared" si="6"/>
        <v>0</v>
      </c>
      <c r="X115" s="161"/>
      <c r="Y115" s="81">
        <f t="shared" si="7"/>
        <v>0</v>
      </c>
      <c r="Z115" s="152"/>
      <c r="AA115" s="153"/>
      <c r="AB115" s="160">
        <f t="shared" si="8"/>
        <v>0</v>
      </c>
      <c r="AC115" s="161"/>
      <c r="AD115" s="81">
        <f t="shared" si="9"/>
        <v>0</v>
      </c>
      <c r="AE115" s="152"/>
      <c r="AF115" s="153"/>
      <c r="AG115" s="160">
        <f t="shared" si="10"/>
        <v>0</v>
      </c>
      <c r="AH115" s="161"/>
      <c r="AI115" s="81">
        <f t="shared" si="11"/>
        <v>0</v>
      </c>
      <c r="AJ115" s="152"/>
      <c r="AK115" s="153"/>
      <c r="AL115" s="160">
        <f t="shared" si="12"/>
        <v>0</v>
      </c>
      <c r="AM115" s="161"/>
      <c r="AN115" s="81">
        <f t="shared" si="13"/>
        <v>0</v>
      </c>
      <c r="AO115" s="152"/>
      <c r="AP115" s="153"/>
      <c r="AQ115" s="160">
        <f t="shared" si="14"/>
        <v>0</v>
      </c>
      <c r="AR115" s="161"/>
      <c r="AS115" s="81">
        <f t="shared" si="15"/>
        <v>0</v>
      </c>
      <c r="AT115" s="152"/>
      <c r="AU115" s="153"/>
      <c r="AV115" s="160">
        <f t="shared" si="16"/>
        <v>0</v>
      </c>
      <c r="AW115" s="161"/>
      <c r="AX115" s="81">
        <f t="shared" si="17"/>
        <v>0</v>
      </c>
      <c r="AY115" s="152"/>
      <c r="AZ115" s="153"/>
      <c r="BA115" s="160">
        <f t="shared" si="18"/>
        <v>0</v>
      </c>
      <c r="BB115" s="161"/>
      <c r="BC115" s="81">
        <f t="shared" si="19"/>
        <v>0</v>
      </c>
      <c r="BD115" s="152"/>
      <c r="BE115" s="153"/>
      <c r="BF115" s="160">
        <f t="shared" si="20"/>
        <v>0</v>
      </c>
      <c r="BG115" s="161"/>
      <c r="BH115" s="81">
        <f t="shared" si="21"/>
        <v>0</v>
      </c>
      <c r="BI115" s="152"/>
      <c r="BJ115" s="153"/>
      <c r="BK115" s="160">
        <f t="shared" si="22"/>
        <v>0</v>
      </c>
      <c r="BL115" s="161"/>
      <c r="BM115" s="81">
        <f t="shared" si="23"/>
        <v>0</v>
      </c>
      <c r="BN115" s="152"/>
      <c r="BO115" s="153"/>
      <c r="BP115" s="160">
        <f t="shared" si="24"/>
        <v>0</v>
      </c>
      <c r="BQ115" s="161"/>
      <c r="BR115" s="81">
        <f t="shared" si="25"/>
        <v>0</v>
      </c>
      <c r="BS115" s="152"/>
      <c r="BT115" s="153"/>
      <c r="BU115" s="160">
        <f t="shared" si="26"/>
        <v>0</v>
      </c>
      <c r="BV115" s="161"/>
      <c r="BW115" s="81">
        <f t="shared" si="27"/>
        <v>0</v>
      </c>
    </row>
    <row r="116" spans="1:75" s="13" customFormat="1" ht="14.1" customHeight="1" x14ac:dyDescent="0.3">
      <c r="A116" s="78"/>
      <c r="B116" s="208" t="str">
        <f>IF(ISBLANK($Q$29),"",VLOOKUP($Q$29,instellingsgegevens!$A$2:$AX$495,41,FALSE))</f>
        <v/>
      </c>
      <c r="C116" s="209"/>
      <c r="D116" s="209"/>
      <c r="E116" s="210"/>
      <c r="F116" s="152"/>
      <c r="G116" s="153"/>
      <c r="H116" s="162">
        <f t="shared" si="28"/>
        <v>0</v>
      </c>
      <c r="I116" s="163"/>
      <c r="J116" s="81">
        <f t="shared" si="1"/>
        <v>0</v>
      </c>
      <c r="K116" s="152"/>
      <c r="L116" s="153"/>
      <c r="M116" s="160">
        <f t="shared" si="2"/>
        <v>0</v>
      </c>
      <c r="N116" s="161"/>
      <c r="O116" s="81">
        <f t="shared" si="3"/>
        <v>0</v>
      </c>
      <c r="P116" s="152"/>
      <c r="Q116" s="153"/>
      <c r="R116" s="160">
        <f t="shared" si="4"/>
        <v>0</v>
      </c>
      <c r="S116" s="161"/>
      <c r="T116" s="81">
        <f t="shared" si="5"/>
        <v>0</v>
      </c>
      <c r="U116" s="152"/>
      <c r="V116" s="153"/>
      <c r="W116" s="160">
        <f t="shared" si="6"/>
        <v>0</v>
      </c>
      <c r="X116" s="161"/>
      <c r="Y116" s="81">
        <f t="shared" si="7"/>
        <v>0</v>
      </c>
      <c r="Z116" s="152"/>
      <c r="AA116" s="153"/>
      <c r="AB116" s="160">
        <f t="shared" si="8"/>
        <v>0</v>
      </c>
      <c r="AC116" s="161"/>
      <c r="AD116" s="81">
        <f t="shared" si="9"/>
        <v>0</v>
      </c>
      <c r="AE116" s="152"/>
      <c r="AF116" s="153"/>
      <c r="AG116" s="160">
        <f t="shared" si="10"/>
        <v>0</v>
      </c>
      <c r="AH116" s="161"/>
      <c r="AI116" s="81">
        <f t="shared" si="11"/>
        <v>0</v>
      </c>
      <c r="AJ116" s="152"/>
      <c r="AK116" s="153"/>
      <c r="AL116" s="160">
        <f t="shared" si="12"/>
        <v>0</v>
      </c>
      <c r="AM116" s="161"/>
      <c r="AN116" s="81">
        <f t="shared" si="13"/>
        <v>0</v>
      </c>
      <c r="AO116" s="152"/>
      <c r="AP116" s="153"/>
      <c r="AQ116" s="160">
        <f t="shared" si="14"/>
        <v>0</v>
      </c>
      <c r="AR116" s="161"/>
      <c r="AS116" s="81">
        <f t="shared" si="15"/>
        <v>0</v>
      </c>
      <c r="AT116" s="152"/>
      <c r="AU116" s="153"/>
      <c r="AV116" s="160">
        <f t="shared" si="16"/>
        <v>0</v>
      </c>
      <c r="AW116" s="161"/>
      <c r="AX116" s="81">
        <f t="shared" si="17"/>
        <v>0</v>
      </c>
      <c r="AY116" s="152"/>
      <c r="AZ116" s="153"/>
      <c r="BA116" s="160">
        <f t="shared" si="18"/>
        <v>0</v>
      </c>
      <c r="BB116" s="161"/>
      <c r="BC116" s="81">
        <f t="shared" si="19"/>
        <v>0</v>
      </c>
      <c r="BD116" s="152"/>
      <c r="BE116" s="153"/>
      <c r="BF116" s="160">
        <f t="shared" si="20"/>
        <v>0</v>
      </c>
      <c r="BG116" s="161"/>
      <c r="BH116" s="81">
        <f t="shared" si="21"/>
        <v>0</v>
      </c>
      <c r="BI116" s="152"/>
      <c r="BJ116" s="153"/>
      <c r="BK116" s="160">
        <f t="shared" si="22"/>
        <v>0</v>
      </c>
      <c r="BL116" s="161"/>
      <c r="BM116" s="81">
        <f t="shared" si="23"/>
        <v>0</v>
      </c>
      <c r="BN116" s="152"/>
      <c r="BO116" s="153"/>
      <c r="BP116" s="160">
        <f t="shared" si="24"/>
        <v>0</v>
      </c>
      <c r="BQ116" s="161"/>
      <c r="BR116" s="81">
        <f t="shared" si="25"/>
        <v>0</v>
      </c>
      <c r="BS116" s="152"/>
      <c r="BT116" s="153"/>
      <c r="BU116" s="160">
        <f t="shared" si="26"/>
        <v>0</v>
      </c>
      <c r="BV116" s="161"/>
      <c r="BW116" s="81">
        <f t="shared" si="27"/>
        <v>0</v>
      </c>
    </row>
    <row r="117" spans="1:75" s="13" customFormat="1" ht="14.1" customHeight="1" x14ac:dyDescent="0.3">
      <c r="A117" s="78"/>
      <c r="B117" s="208" t="str">
        <f>IF(ISBLANK($Q$29),"",VLOOKUP($Q$29,instellingsgegevens!$A$2:$AX$495,42,FALSE))</f>
        <v/>
      </c>
      <c r="C117" s="209"/>
      <c r="D117" s="209"/>
      <c r="E117" s="210"/>
      <c r="F117" s="152"/>
      <c r="G117" s="153"/>
      <c r="H117" s="162">
        <f t="shared" si="28"/>
        <v>0</v>
      </c>
      <c r="I117" s="163"/>
      <c r="J117" s="81">
        <f t="shared" si="1"/>
        <v>0</v>
      </c>
      <c r="K117" s="152"/>
      <c r="L117" s="153"/>
      <c r="M117" s="160">
        <f t="shared" si="2"/>
        <v>0</v>
      </c>
      <c r="N117" s="161"/>
      <c r="O117" s="81">
        <f t="shared" si="3"/>
        <v>0</v>
      </c>
      <c r="P117" s="152"/>
      <c r="Q117" s="153"/>
      <c r="R117" s="160">
        <f t="shared" si="4"/>
        <v>0</v>
      </c>
      <c r="S117" s="161"/>
      <c r="T117" s="81">
        <f t="shared" si="5"/>
        <v>0</v>
      </c>
      <c r="U117" s="152"/>
      <c r="V117" s="153"/>
      <c r="W117" s="160">
        <f t="shared" si="6"/>
        <v>0</v>
      </c>
      <c r="X117" s="161"/>
      <c r="Y117" s="81">
        <f t="shared" si="7"/>
        <v>0</v>
      </c>
      <c r="Z117" s="152"/>
      <c r="AA117" s="153"/>
      <c r="AB117" s="160">
        <f t="shared" si="8"/>
        <v>0</v>
      </c>
      <c r="AC117" s="161"/>
      <c r="AD117" s="81">
        <f t="shared" si="9"/>
        <v>0</v>
      </c>
      <c r="AE117" s="152"/>
      <c r="AF117" s="153"/>
      <c r="AG117" s="160">
        <f t="shared" si="10"/>
        <v>0</v>
      </c>
      <c r="AH117" s="161"/>
      <c r="AI117" s="81">
        <f t="shared" si="11"/>
        <v>0</v>
      </c>
      <c r="AJ117" s="152"/>
      <c r="AK117" s="153"/>
      <c r="AL117" s="160">
        <f t="shared" si="12"/>
        <v>0</v>
      </c>
      <c r="AM117" s="161"/>
      <c r="AN117" s="81">
        <f t="shared" si="13"/>
        <v>0</v>
      </c>
      <c r="AO117" s="152"/>
      <c r="AP117" s="153"/>
      <c r="AQ117" s="160">
        <f t="shared" si="14"/>
        <v>0</v>
      </c>
      <c r="AR117" s="161"/>
      <c r="AS117" s="81">
        <f t="shared" si="15"/>
        <v>0</v>
      </c>
      <c r="AT117" s="152"/>
      <c r="AU117" s="153"/>
      <c r="AV117" s="160">
        <f t="shared" si="16"/>
        <v>0</v>
      </c>
      <c r="AW117" s="161"/>
      <c r="AX117" s="81">
        <f t="shared" si="17"/>
        <v>0</v>
      </c>
      <c r="AY117" s="152"/>
      <c r="AZ117" s="153"/>
      <c r="BA117" s="160">
        <f t="shared" si="18"/>
        <v>0</v>
      </c>
      <c r="BB117" s="161"/>
      <c r="BC117" s="81">
        <f t="shared" si="19"/>
        <v>0</v>
      </c>
      <c r="BD117" s="152"/>
      <c r="BE117" s="153"/>
      <c r="BF117" s="160">
        <f t="shared" si="20"/>
        <v>0</v>
      </c>
      <c r="BG117" s="161"/>
      <c r="BH117" s="81">
        <f t="shared" si="21"/>
        <v>0</v>
      </c>
      <c r="BI117" s="152"/>
      <c r="BJ117" s="153"/>
      <c r="BK117" s="160">
        <f t="shared" si="22"/>
        <v>0</v>
      </c>
      <c r="BL117" s="161"/>
      <c r="BM117" s="81">
        <f t="shared" si="23"/>
        <v>0</v>
      </c>
      <c r="BN117" s="152"/>
      <c r="BO117" s="153"/>
      <c r="BP117" s="160">
        <f t="shared" si="24"/>
        <v>0</v>
      </c>
      <c r="BQ117" s="161"/>
      <c r="BR117" s="81">
        <f t="shared" si="25"/>
        <v>0</v>
      </c>
      <c r="BS117" s="152"/>
      <c r="BT117" s="153"/>
      <c r="BU117" s="160">
        <f t="shared" si="26"/>
        <v>0</v>
      </c>
      <c r="BV117" s="161"/>
      <c r="BW117" s="81">
        <f t="shared" si="27"/>
        <v>0</v>
      </c>
    </row>
    <row r="118" spans="1:75" s="13" customFormat="1" ht="14.1" customHeight="1" x14ac:dyDescent="0.3">
      <c r="A118" s="78"/>
      <c r="B118" s="208" t="str">
        <f>IF(ISBLANK($Q$29),"",VLOOKUP($Q$29,instellingsgegevens!$A$2:$AX$495,43,FALSE))</f>
        <v/>
      </c>
      <c r="C118" s="209"/>
      <c r="D118" s="209"/>
      <c r="E118" s="210"/>
      <c r="F118" s="152"/>
      <c r="G118" s="153"/>
      <c r="H118" s="162">
        <f t="shared" si="28"/>
        <v>0</v>
      </c>
      <c r="I118" s="163"/>
      <c r="J118" s="81">
        <f t="shared" si="1"/>
        <v>0</v>
      </c>
      <c r="K118" s="152"/>
      <c r="L118" s="153"/>
      <c r="M118" s="160">
        <f t="shared" si="2"/>
        <v>0</v>
      </c>
      <c r="N118" s="161"/>
      <c r="O118" s="81">
        <f t="shared" si="3"/>
        <v>0</v>
      </c>
      <c r="P118" s="152"/>
      <c r="Q118" s="153"/>
      <c r="R118" s="160">
        <f t="shared" si="4"/>
        <v>0</v>
      </c>
      <c r="S118" s="161"/>
      <c r="T118" s="81">
        <f t="shared" si="5"/>
        <v>0</v>
      </c>
      <c r="U118" s="152"/>
      <c r="V118" s="153"/>
      <c r="W118" s="160">
        <f t="shared" si="6"/>
        <v>0</v>
      </c>
      <c r="X118" s="161"/>
      <c r="Y118" s="81">
        <f t="shared" si="7"/>
        <v>0</v>
      </c>
      <c r="Z118" s="152"/>
      <c r="AA118" s="153"/>
      <c r="AB118" s="160">
        <f t="shared" si="8"/>
        <v>0</v>
      </c>
      <c r="AC118" s="161"/>
      <c r="AD118" s="81">
        <f t="shared" si="9"/>
        <v>0</v>
      </c>
      <c r="AE118" s="152"/>
      <c r="AF118" s="153"/>
      <c r="AG118" s="160">
        <f t="shared" si="10"/>
        <v>0</v>
      </c>
      <c r="AH118" s="161"/>
      <c r="AI118" s="81">
        <f t="shared" si="11"/>
        <v>0</v>
      </c>
      <c r="AJ118" s="152"/>
      <c r="AK118" s="153"/>
      <c r="AL118" s="160">
        <f t="shared" si="12"/>
        <v>0</v>
      </c>
      <c r="AM118" s="161"/>
      <c r="AN118" s="81">
        <f t="shared" si="13"/>
        <v>0</v>
      </c>
      <c r="AO118" s="152"/>
      <c r="AP118" s="153"/>
      <c r="AQ118" s="160">
        <f t="shared" si="14"/>
        <v>0</v>
      </c>
      <c r="AR118" s="161"/>
      <c r="AS118" s="81">
        <f t="shared" si="15"/>
        <v>0</v>
      </c>
      <c r="AT118" s="152"/>
      <c r="AU118" s="153"/>
      <c r="AV118" s="160">
        <f t="shared" si="16"/>
        <v>0</v>
      </c>
      <c r="AW118" s="161"/>
      <c r="AX118" s="81">
        <f t="shared" si="17"/>
        <v>0</v>
      </c>
      <c r="AY118" s="152"/>
      <c r="AZ118" s="153"/>
      <c r="BA118" s="160">
        <f t="shared" si="18"/>
        <v>0</v>
      </c>
      <c r="BB118" s="161"/>
      <c r="BC118" s="81">
        <f t="shared" si="19"/>
        <v>0</v>
      </c>
      <c r="BD118" s="152"/>
      <c r="BE118" s="153"/>
      <c r="BF118" s="160">
        <f t="shared" si="20"/>
        <v>0</v>
      </c>
      <c r="BG118" s="161"/>
      <c r="BH118" s="81">
        <f t="shared" si="21"/>
        <v>0</v>
      </c>
      <c r="BI118" s="152"/>
      <c r="BJ118" s="153"/>
      <c r="BK118" s="160">
        <f t="shared" si="22"/>
        <v>0</v>
      </c>
      <c r="BL118" s="161"/>
      <c r="BM118" s="81">
        <f t="shared" si="23"/>
        <v>0</v>
      </c>
      <c r="BN118" s="152"/>
      <c r="BO118" s="153"/>
      <c r="BP118" s="160">
        <f t="shared" si="24"/>
        <v>0</v>
      </c>
      <c r="BQ118" s="161"/>
      <c r="BR118" s="81">
        <f t="shared" si="25"/>
        <v>0</v>
      </c>
      <c r="BS118" s="152"/>
      <c r="BT118" s="153"/>
      <c r="BU118" s="160">
        <f t="shared" si="26"/>
        <v>0</v>
      </c>
      <c r="BV118" s="161"/>
      <c r="BW118" s="81">
        <f t="shared" si="27"/>
        <v>0</v>
      </c>
    </row>
    <row r="119" spans="1:75" s="13" customFormat="1" ht="14.1" customHeight="1" x14ac:dyDescent="0.3">
      <c r="A119" s="78"/>
      <c r="B119" s="208" t="str">
        <f>IF(ISBLANK($Q$29),"",VLOOKUP($Q$29,instellingsgegevens!$A$2:$AX$495,44,FALSE))</f>
        <v/>
      </c>
      <c r="C119" s="209"/>
      <c r="D119" s="209"/>
      <c r="E119" s="210"/>
      <c r="F119" s="152"/>
      <c r="G119" s="153"/>
      <c r="H119" s="162">
        <f t="shared" si="28"/>
        <v>0</v>
      </c>
      <c r="I119" s="163"/>
      <c r="J119" s="81">
        <f t="shared" si="1"/>
        <v>0</v>
      </c>
      <c r="K119" s="152"/>
      <c r="L119" s="153"/>
      <c r="M119" s="160">
        <f t="shared" si="2"/>
        <v>0</v>
      </c>
      <c r="N119" s="161"/>
      <c r="O119" s="81">
        <f t="shared" si="3"/>
        <v>0</v>
      </c>
      <c r="P119" s="152"/>
      <c r="Q119" s="153"/>
      <c r="R119" s="160">
        <f t="shared" si="4"/>
        <v>0</v>
      </c>
      <c r="S119" s="161"/>
      <c r="T119" s="81">
        <f t="shared" si="5"/>
        <v>0</v>
      </c>
      <c r="U119" s="152"/>
      <c r="V119" s="153"/>
      <c r="W119" s="160">
        <f t="shared" si="6"/>
        <v>0</v>
      </c>
      <c r="X119" s="161"/>
      <c r="Y119" s="81">
        <f t="shared" si="7"/>
        <v>0</v>
      </c>
      <c r="Z119" s="152"/>
      <c r="AA119" s="153"/>
      <c r="AB119" s="160">
        <f t="shared" si="8"/>
        <v>0</v>
      </c>
      <c r="AC119" s="161"/>
      <c r="AD119" s="81">
        <f t="shared" si="9"/>
        <v>0</v>
      </c>
      <c r="AE119" s="152"/>
      <c r="AF119" s="153"/>
      <c r="AG119" s="160">
        <f t="shared" si="10"/>
        <v>0</v>
      </c>
      <c r="AH119" s="161"/>
      <c r="AI119" s="81">
        <f t="shared" si="11"/>
        <v>0</v>
      </c>
      <c r="AJ119" s="152"/>
      <c r="AK119" s="153"/>
      <c r="AL119" s="160">
        <f t="shared" si="12"/>
        <v>0</v>
      </c>
      <c r="AM119" s="161"/>
      <c r="AN119" s="81">
        <f t="shared" si="13"/>
        <v>0</v>
      </c>
      <c r="AO119" s="152"/>
      <c r="AP119" s="153"/>
      <c r="AQ119" s="160">
        <f t="shared" si="14"/>
        <v>0</v>
      </c>
      <c r="AR119" s="161"/>
      <c r="AS119" s="81">
        <f t="shared" si="15"/>
        <v>0</v>
      </c>
      <c r="AT119" s="152"/>
      <c r="AU119" s="153"/>
      <c r="AV119" s="160">
        <f t="shared" si="16"/>
        <v>0</v>
      </c>
      <c r="AW119" s="161"/>
      <c r="AX119" s="81">
        <f t="shared" si="17"/>
        <v>0</v>
      </c>
      <c r="AY119" s="152"/>
      <c r="AZ119" s="153"/>
      <c r="BA119" s="160">
        <f t="shared" si="18"/>
        <v>0</v>
      </c>
      <c r="BB119" s="161"/>
      <c r="BC119" s="81">
        <f t="shared" si="19"/>
        <v>0</v>
      </c>
      <c r="BD119" s="152"/>
      <c r="BE119" s="153"/>
      <c r="BF119" s="160">
        <f t="shared" si="20"/>
        <v>0</v>
      </c>
      <c r="BG119" s="161"/>
      <c r="BH119" s="81">
        <f t="shared" si="21"/>
        <v>0</v>
      </c>
      <c r="BI119" s="152"/>
      <c r="BJ119" s="153"/>
      <c r="BK119" s="160">
        <f t="shared" si="22"/>
        <v>0</v>
      </c>
      <c r="BL119" s="161"/>
      <c r="BM119" s="81">
        <f t="shared" si="23"/>
        <v>0</v>
      </c>
      <c r="BN119" s="152"/>
      <c r="BO119" s="153"/>
      <c r="BP119" s="160">
        <f t="shared" si="24"/>
        <v>0</v>
      </c>
      <c r="BQ119" s="161"/>
      <c r="BR119" s="81">
        <f t="shared" si="25"/>
        <v>0</v>
      </c>
      <c r="BS119" s="152"/>
      <c r="BT119" s="153"/>
      <c r="BU119" s="160">
        <f t="shared" si="26"/>
        <v>0</v>
      </c>
      <c r="BV119" s="161"/>
      <c r="BW119" s="81">
        <f t="shared" si="27"/>
        <v>0</v>
      </c>
    </row>
    <row r="120" spans="1:75" s="13" customFormat="1" ht="14.1" customHeight="1" x14ac:dyDescent="0.3">
      <c r="A120" s="78"/>
      <c r="B120" s="208" t="str">
        <f>IF(ISBLANK($Q$29),"",VLOOKUP($Q$29,instellingsgegevens!$A$2:$AX$495,45,FALSE))</f>
        <v/>
      </c>
      <c r="C120" s="209"/>
      <c r="D120" s="209"/>
      <c r="E120" s="210"/>
      <c r="F120" s="152"/>
      <c r="G120" s="153"/>
      <c r="H120" s="162">
        <f t="shared" si="28"/>
        <v>0</v>
      </c>
      <c r="I120" s="163"/>
      <c r="J120" s="81">
        <f t="shared" si="1"/>
        <v>0</v>
      </c>
      <c r="K120" s="152"/>
      <c r="L120" s="153"/>
      <c r="M120" s="160">
        <f t="shared" si="2"/>
        <v>0</v>
      </c>
      <c r="N120" s="161"/>
      <c r="O120" s="81">
        <f t="shared" si="3"/>
        <v>0</v>
      </c>
      <c r="P120" s="152"/>
      <c r="Q120" s="153"/>
      <c r="R120" s="160">
        <f t="shared" si="4"/>
        <v>0</v>
      </c>
      <c r="S120" s="161"/>
      <c r="T120" s="81">
        <f t="shared" si="5"/>
        <v>0</v>
      </c>
      <c r="U120" s="152"/>
      <c r="V120" s="153"/>
      <c r="W120" s="160">
        <f t="shared" si="6"/>
        <v>0</v>
      </c>
      <c r="X120" s="161"/>
      <c r="Y120" s="81">
        <f t="shared" si="7"/>
        <v>0</v>
      </c>
      <c r="Z120" s="152"/>
      <c r="AA120" s="153"/>
      <c r="AB120" s="160">
        <f t="shared" si="8"/>
        <v>0</v>
      </c>
      <c r="AC120" s="161"/>
      <c r="AD120" s="81">
        <f t="shared" si="9"/>
        <v>0</v>
      </c>
      <c r="AE120" s="152"/>
      <c r="AF120" s="153"/>
      <c r="AG120" s="160">
        <f t="shared" si="10"/>
        <v>0</v>
      </c>
      <c r="AH120" s="161"/>
      <c r="AI120" s="81">
        <f t="shared" si="11"/>
        <v>0</v>
      </c>
      <c r="AJ120" s="152"/>
      <c r="AK120" s="153"/>
      <c r="AL120" s="160">
        <f t="shared" si="12"/>
        <v>0</v>
      </c>
      <c r="AM120" s="161"/>
      <c r="AN120" s="81">
        <f t="shared" si="13"/>
        <v>0</v>
      </c>
      <c r="AO120" s="152"/>
      <c r="AP120" s="153"/>
      <c r="AQ120" s="160">
        <f t="shared" si="14"/>
        <v>0</v>
      </c>
      <c r="AR120" s="161"/>
      <c r="AS120" s="81">
        <f t="shared" si="15"/>
        <v>0</v>
      </c>
      <c r="AT120" s="152"/>
      <c r="AU120" s="153"/>
      <c r="AV120" s="160">
        <f t="shared" si="16"/>
        <v>0</v>
      </c>
      <c r="AW120" s="161"/>
      <c r="AX120" s="81">
        <f t="shared" si="17"/>
        <v>0</v>
      </c>
      <c r="AY120" s="152"/>
      <c r="AZ120" s="153"/>
      <c r="BA120" s="160">
        <f t="shared" si="18"/>
        <v>0</v>
      </c>
      <c r="BB120" s="161"/>
      <c r="BC120" s="81">
        <f t="shared" si="19"/>
        <v>0</v>
      </c>
      <c r="BD120" s="152"/>
      <c r="BE120" s="153"/>
      <c r="BF120" s="160">
        <f t="shared" si="20"/>
        <v>0</v>
      </c>
      <c r="BG120" s="161"/>
      <c r="BH120" s="81">
        <f t="shared" si="21"/>
        <v>0</v>
      </c>
      <c r="BI120" s="152"/>
      <c r="BJ120" s="153"/>
      <c r="BK120" s="160">
        <f t="shared" si="22"/>
        <v>0</v>
      </c>
      <c r="BL120" s="161"/>
      <c r="BM120" s="81">
        <f t="shared" si="23"/>
        <v>0</v>
      </c>
      <c r="BN120" s="152"/>
      <c r="BO120" s="153"/>
      <c r="BP120" s="160">
        <f t="shared" si="24"/>
        <v>0</v>
      </c>
      <c r="BQ120" s="161"/>
      <c r="BR120" s="81">
        <f t="shared" si="25"/>
        <v>0</v>
      </c>
      <c r="BS120" s="152"/>
      <c r="BT120" s="153"/>
      <c r="BU120" s="160">
        <f t="shared" si="26"/>
        <v>0</v>
      </c>
      <c r="BV120" s="161"/>
      <c r="BW120" s="81">
        <f t="shared" si="27"/>
        <v>0</v>
      </c>
    </row>
    <row r="121" spans="1:75" s="13" customFormat="1" ht="14.1" customHeight="1" x14ac:dyDescent="0.3">
      <c r="A121" s="78"/>
      <c r="B121" s="208" t="str">
        <f>IF(ISBLANK($Q$29),"",VLOOKUP($Q$29,instellingsgegevens!$A$2:$AX$495,46,FALSE))</f>
        <v/>
      </c>
      <c r="C121" s="209"/>
      <c r="D121" s="209"/>
      <c r="E121" s="210"/>
      <c r="F121" s="152"/>
      <c r="G121" s="153"/>
      <c r="H121" s="162">
        <f t="shared" si="28"/>
        <v>0</v>
      </c>
      <c r="I121" s="163"/>
      <c r="J121" s="81">
        <f t="shared" si="1"/>
        <v>0</v>
      </c>
      <c r="K121" s="152"/>
      <c r="L121" s="153"/>
      <c r="M121" s="160">
        <f t="shared" si="2"/>
        <v>0</v>
      </c>
      <c r="N121" s="161"/>
      <c r="O121" s="81">
        <f t="shared" si="3"/>
        <v>0</v>
      </c>
      <c r="P121" s="152"/>
      <c r="Q121" s="153"/>
      <c r="R121" s="160">
        <f t="shared" si="4"/>
        <v>0</v>
      </c>
      <c r="S121" s="161"/>
      <c r="T121" s="81">
        <f t="shared" si="5"/>
        <v>0</v>
      </c>
      <c r="U121" s="152"/>
      <c r="V121" s="153"/>
      <c r="W121" s="160">
        <f t="shared" si="6"/>
        <v>0</v>
      </c>
      <c r="X121" s="161"/>
      <c r="Y121" s="81">
        <f t="shared" si="7"/>
        <v>0</v>
      </c>
      <c r="Z121" s="152"/>
      <c r="AA121" s="153"/>
      <c r="AB121" s="160">
        <f t="shared" si="8"/>
        <v>0</v>
      </c>
      <c r="AC121" s="161"/>
      <c r="AD121" s="81">
        <f t="shared" si="9"/>
        <v>0</v>
      </c>
      <c r="AE121" s="152"/>
      <c r="AF121" s="153"/>
      <c r="AG121" s="160">
        <f t="shared" si="10"/>
        <v>0</v>
      </c>
      <c r="AH121" s="161"/>
      <c r="AI121" s="81">
        <f t="shared" si="11"/>
        <v>0</v>
      </c>
      <c r="AJ121" s="152"/>
      <c r="AK121" s="153"/>
      <c r="AL121" s="160">
        <f t="shared" si="12"/>
        <v>0</v>
      </c>
      <c r="AM121" s="161"/>
      <c r="AN121" s="81">
        <f t="shared" si="13"/>
        <v>0</v>
      </c>
      <c r="AO121" s="152"/>
      <c r="AP121" s="153"/>
      <c r="AQ121" s="160">
        <f t="shared" si="14"/>
        <v>0</v>
      </c>
      <c r="AR121" s="161"/>
      <c r="AS121" s="81">
        <f t="shared" si="15"/>
        <v>0</v>
      </c>
      <c r="AT121" s="152"/>
      <c r="AU121" s="153"/>
      <c r="AV121" s="160">
        <f t="shared" si="16"/>
        <v>0</v>
      </c>
      <c r="AW121" s="161"/>
      <c r="AX121" s="81">
        <f t="shared" si="17"/>
        <v>0</v>
      </c>
      <c r="AY121" s="152"/>
      <c r="AZ121" s="153"/>
      <c r="BA121" s="160">
        <f t="shared" si="18"/>
        <v>0</v>
      </c>
      <c r="BB121" s="161"/>
      <c r="BC121" s="81">
        <f t="shared" si="19"/>
        <v>0</v>
      </c>
      <c r="BD121" s="152"/>
      <c r="BE121" s="153"/>
      <c r="BF121" s="160">
        <f t="shared" si="20"/>
        <v>0</v>
      </c>
      <c r="BG121" s="161"/>
      <c r="BH121" s="81">
        <f t="shared" si="21"/>
        <v>0</v>
      </c>
      <c r="BI121" s="152"/>
      <c r="BJ121" s="153"/>
      <c r="BK121" s="160">
        <f t="shared" si="22"/>
        <v>0</v>
      </c>
      <c r="BL121" s="161"/>
      <c r="BM121" s="81">
        <f t="shared" si="23"/>
        <v>0</v>
      </c>
      <c r="BN121" s="152"/>
      <c r="BO121" s="153"/>
      <c r="BP121" s="160">
        <f t="shared" si="24"/>
        <v>0</v>
      </c>
      <c r="BQ121" s="161"/>
      <c r="BR121" s="81">
        <f t="shared" si="25"/>
        <v>0</v>
      </c>
      <c r="BS121" s="152"/>
      <c r="BT121" s="153"/>
      <c r="BU121" s="160">
        <f t="shared" si="26"/>
        <v>0</v>
      </c>
      <c r="BV121" s="161"/>
      <c r="BW121" s="81">
        <f t="shared" si="27"/>
        <v>0</v>
      </c>
    </row>
    <row r="122" spans="1:75" s="13" customFormat="1" ht="14.1" customHeight="1" x14ac:dyDescent="0.3">
      <c r="A122" s="78"/>
      <c r="B122" s="208" t="str">
        <f>IF(ISBLANK($Q$29),"",VLOOKUP($Q$29,instellingsgegevens!$A$2:$AX$495,47,FALSE))</f>
        <v/>
      </c>
      <c r="C122" s="209"/>
      <c r="D122" s="209"/>
      <c r="E122" s="210"/>
      <c r="F122" s="152"/>
      <c r="G122" s="153"/>
      <c r="H122" s="162">
        <f t="shared" ref="H122:H128" si="30">F122*1.5</f>
        <v>0</v>
      </c>
      <c r="I122" s="163"/>
      <c r="J122" s="81">
        <f t="shared" ref="J122:J128" si="31">F122</f>
        <v>0</v>
      </c>
      <c r="K122" s="152"/>
      <c r="L122" s="153"/>
      <c r="M122" s="160">
        <f t="shared" ref="M122:M128" si="32">K122*1.5</f>
        <v>0</v>
      </c>
      <c r="N122" s="161"/>
      <c r="O122" s="81">
        <f t="shared" ref="O122:O128" si="33">IF(ISBLANK($K$85),0,K122-F122)</f>
        <v>0</v>
      </c>
      <c r="P122" s="152"/>
      <c r="Q122" s="153"/>
      <c r="R122" s="160">
        <f t="shared" ref="R122:R128" si="34">P122*1.5</f>
        <v>0</v>
      </c>
      <c r="S122" s="161"/>
      <c r="T122" s="81">
        <f t="shared" ref="T122:T128" si="35">IF(ISBLANK($P$85),0,P122-K122)</f>
        <v>0</v>
      </c>
      <c r="U122" s="152"/>
      <c r="V122" s="153"/>
      <c r="W122" s="160">
        <f t="shared" ref="W122:W128" si="36">U122*1.5</f>
        <v>0</v>
      </c>
      <c r="X122" s="161"/>
      <c r="Y122" s="81">
        <f t="shared" ref="Y122:Y128" si="37">IF(ISBLANK($U$85),0,U122-P122)</f>
        <v>0</v>
      </c>
      <c r="Z122" s="152"/>
      <c r="AA122" s="153"/>
      <c r="AB122" s="160">
        <f t="shared" ref="AB122:AB128" si="38">Z122*1.5</f>
        <v>0</v>
      </c>
      <c r="AC122" s="161"/>
      <c r="AD122" s="81">
        <f t="shared" ref="AD122:AD128" si="39">IF(ISBLANK($Z$85),0,Z122-U122)</f>
        <v>0</v>
      </c>
      <c r="AE122" s="152"/>
      <c r="AF122" s="153"/>
      <c r="AG122" s="160">
        <f t="shared" ref="AG122:AG128" si="40">AE122*1.5</f>
        <v>0</v>
      </c>
      <c r="AH122" s="161"/>
      <c r="AI122" s="81">
        <f t="shared" ref="AI122:AI128" si="41">IF(ISBLANK($AE$85),0,AE122-Z122)</f>
        <v>0</v>
      </c>
      <c r="AJ122" s="152"/>
      <c r="AK122" s="153"/>
      <c r="AL122" s="160">
        <f t="shared" ref="AL122:AL128" si="42">AJ122*1.5</f>
        <v>0</v>
      </c>
      <c r="AM122" s="161"/>
      <c r="AN122" s="81">
        <f t="shared" ref="AN122:AN128" si="43">IF(ISBLANK($AJ$85),0,AJ122-AE122)</f>
        <v>0</v>
      </c>
      <c r="AO122" s="152"/>
      <c r="AP122" s="153"/>
      <c r="AQ122" s="160">
        <f t="shared" ref="AQ122:AQ128" si="44">AO122*1.5</f>
        <v>0</v>
      </c>
      <c r="AR122" s="161"/>
      <c r="AS122" s="81">
        <f t="shared" ref="AS122:AS128" si="45">IF(ISBLANK($AO$85),0,AO122-AJ122)</f>
        <v>0</v>
      </c>
      <c r="AT122" s="152"/>
      <c r="AU122" s="153"/>
      <c r="AV122" s="160">
        <f t="shared" si="16"/>
        <v>0</v>
      </c>
      <c r="AW122" s="161"/>
      <c r="AX122" s="81">
        <f t="shared" si="17"/>
        <v>0</v>
      </c>
      <c r="AY122" s="152"/>
      <c r="AZ122" s="153"/>
      <c r="BA122" s="160">
        <f t="shared" si="18"/>
        <v>0</v>
      </c>
      <c r="BB122" s="161"/>
      <c r="BC122" s="81">
        <f t="shared" si="19"/>
        <v>0</v>
      </c>
      <c r="BD122" s="152"/>
      <c r="BE122" s="153"/>
      <c r="BF122" s="160">
        <f t="shared" si="20"/>
        <v>0</v>
      </c>
      <c r="BG122" s="161"/>
      <c r="BH122" s="81">
        <f t="shared" si="21"/>
        <v>0</v>
      </c>
      <c r="BI122" s="152"/>
      <c r="BJ122" s="153"/>
      <c r="BK122" s="160">
        <f t="shared" si="22"/>
        <v>0</v>
      </c>
      <c r="BL122" s="161"/>
      <c r="BM122" s="81">
        <f t="shared" si="23"/>
        <v>0</v>
      </c>
      <c r="BN122" s="152"/>
      <c r="BO122" s="153"/>
      <c r="BP122" s="160">
        <f t="shared" si="24"/>
        <v>0</v>
      </c>
      <c r="BQ122" s="161"/>
      <c r="BR122" s="81">
        <f t="shared" si="25"/>
        <v>0</v>
      </c>
      <c r="BS122" s="152"/>
      <c r="BT122" s="153"/>
      <c r="BU122" s="160">
        <f t="shared" si="26"/>
        <v>0</v>
      </c>
      <c r="BV122" s="161"/>
      <c r="BW122" s="81">
        <f t="shared" si="27"/>
        <v>0</v>
      </c>
    </row>
    <row r="123" spans="1:75" s="13" customFormat="1" ht="14.1" customHeight="1" x14ac:dyDescent="0.3">
      <c r="A123" s="78"/>
      <c r="B123" s="208" t="str">
        <f>IF(ISBLANK($Q$29),"",VLOOKUP($Q$29,instellingsgegevens!$A$2:$AX$495,48,FALSE))</f>
        <v/>
      </c>
      <c r="C123" s="209"/>
      <c r="D123" s="209"/>
      <c r="E123" s="210"/>
      <c r="F123" s="152"/>
      <c r="G123" s="153"/>
      <c r="H123" s="162">
        <f t="shared" si="30"/>
        <v>0</v>
      </c>
      <c r="I123" s="163"/>
      <c r="J123" s="81">
        <f t="shared" si="31"/>
        <v>0</v>
      </c>
      <c r="K123" s="152"/>
      <c r="L123" s="153"/>
      <c r="M123" s="160">
        <f t="shared" si="32"/>
        <v>0</v>
      </c>
      <c r="N123" s="161"/>
      <c r="O123" s="81">
        <f t="shared" si="33"/>
        <v>0</v>
      </c>
      <c r="P123" s="152"/>
      <c r="Q123" s="153"/>
      <c r="R123" s="160">
        <f t="shared" si="34"/>
        <v>0</v>
      </c>
      <c r="S123" s="161"/>
      <c r="T123" s="81">
        <f t="shared" si="35"/>
        <v>0</v>
      </c>
      <c r="U123" s="152"/>
      <c r="V123" s="153"/>
      <c r="W123" s="160">
        <f t="shared" si="36"/>
        <v>0</v>
      </c>
      <c r="X123" s="161"/>
      <c r="Y123" s="81">
        <f t="shared" si="37"/>
        <v>0</v>
      </c>
      <c r="Z123" s="152"/>
      <c r="AA123" s="153"/>
      <c r="AB123" s="160">
        <f t="shared" si="38"/>
        <v>0</v>
      </c>
      <c r="AC123" s="161"/>
      <c r="AD123" s="81">
        <f t="shared" si="39"/>
        <v>0</v>
      </c>
      <c r="AE123" s="152"/>
      <c r="AF123" s="153"/>
      <c r="AG123" s="160">
        <f t="shared" si="40"/>
        <v>0</v>
      </c>
      <c r="AH123" s="161"/>
      <c r="AI123" s="81">
        <f t="shared" si="41"/>
        <v>0</v>
      </c>
      <c r="AJ123" s="152"/>
      <c r="AK123" s="153"/>
      <c r="AL123" s="160">
        <f t="shared" si="42"/>
        <v>0</v>
      </c>
      <c r="AM123" s="161"/>
      <c r="AN123" s="81">
        <f t="shared" si="43"/>
        <v>0</v>
      </c>
      <c r="AO123" s="152"/>
      <c r="AP123" s="153"/>
      <c r="AQ123" s="160">
        <f t="shared" si="44"/>
        <v>0</v>
      </c>
      <c r="AR123" s="161"/>
      <c r="AS123" s="81">
        <f t="shared" si="45"/>
        <v>0</v>
      </c>
      <c r="AT123" s="152"/>
      <c r="AU123" s="153"/>
      <c r="AV123" s="160">
        <f t="shared" si="16"/>
        <v>0</v>
      </c>
      <c r="AW123" s="161"/>
      <c r="AX123" s="81">
        <f t="shared" si="17"/>
        <v>0</v>
      </c>
      <c r="AY123" s="152"/>
      <c r="AZ123" s="153"/>
      <c r="BA123" s="160">
        <f t="shared" si="18"/>
        <v>0</v>
      </c>
      <c r="BB123" s="161"/>
      <c r="BC123" s="81">
        <f t="shared" si="19"/>
        <v>0</v>
      </c>
      <c r="BD123" s="152"/>
      <c r="BE123" s="153"/>
      <c r="BF123" s="160">
        <f t="shared" si="20"/>
        <v>0</v>
      </c>
      <c r="BG123" s="161"/>
      <c r="BH123" s="81">
        <f t="shared" si="21"/>
        <v>0</v>
      </c>
      <c r="BI123" s="152"/>
      <c r="BJ123" s="153"/>
      <c r="BK123" s="160">
        <f t="shared" si="22"/>
        <v>0</v>
      </c>
      <c r="BL123" s="161"/>
      <c r="BM123" s="81">
        <f t="shared" si="23"/>
        <v>0</v>
      </c>
      <c r="BN123" s="152"/>
      <c r="BO123" s="153"/>
      <c r="BP123" s="160">
        <f t="shared" si="24"/>
        <v>0</v>
      </c>
      <c r="BQ123" s="161"/>
      <c r="BR123" s="81">
        <f t="shared" si="25"/>
        <v>0</v>
      </c>
      <c r="BS123" s="152"/>
      <c r="BT123" s="153"/>
      <c r="BU123" s="160">
        <f t="shared" si="26"/>
        <v>0</v>
      </c>
      <c r="BV123" s="161"/>
      <c r="BW123" s="81">
        <f t="shared" si="27"/>
        <v>0</v>
      </c>
    </row>
    <row r="124" spans="1:75" s="13" customFormat="1" ht="14.1" customHeight="1" x14ac:dyDescent="0.3">
      <c r="A124" s="78"/>
      <c r="B124" s="208" t="str">
        <f>IF(ISBLANK($Q$29),"",VLOOKUP($Q$29,instellingsgegevens!$A$2:$AX$495,49,FALSE))</f>
        <v/>
      </c>
      <c r="C124" s="209"/>
      <c r="D124" s="209"/>
      <c r="E124" s="210"/>
      <c r="F124" s="152"/>
      <c r="G124" s="153"/>
      <c r="H124" s="162">
        <f t="shared" si="30"/>
        <v>0</v>
      </c>
      <c r="I124" s="163"/>
      <c r="J124" s="81">
        <f t="shared" si="31"/>
        <v>0</v>
      </c>
      <c r="K124" s="152"/>
      <c r="L124" s="153"/>
      <c r="M124" s="160">
        <f t="shared" si="32"/>
        <v>0</v>
      </c>
      <c r="N124" s="161"/>
      <c r="O124" s="81">
        <f t="shared" si="33"/>
        <v>0</v>
      </c>
      <c r="P124" s="152"/>
      <c r="Q124" s="153"/>
      <c r="R124" s="160">
        <f t="shared" si="34"/>
        <v>0</v>
      </c>
      <c r="S124" s="161"/>
      <c r="T124" s="81">
        <f t="shared" si="35"/>
        <v>0</v>
      </c>
      <c r="U124" s="152"/>
      <c r="V124" s="153"/>
      <c r="W124" s="160">
        <f t="shared" si="36"/>
        <v>0</v>
      </c>
      <c r="X124" s="161"/>
      <c r="Y124" s="81">
        <f t="shared" si="37"/>
        <v>0</v>
      </c>
      <c r="Z124" s="152"/>
      <c r="AA124" s="153"/>
      <c r="AB124" s="160">
        <f t="shared" si="38"/>
        <v>0</v>
      </c>
      <c r="AC124" s="161"/>
      <c r="AD124" s="81">
        <f t="shared" si="39"/>
        <v>0</v>
      </c>
      <c r="AE124" s="152"/>
      <c r="AF124" s="153"/>
      <c r="AG124" s="160">
        <f t="shared" si="40"/>
        <v>0</v>
      </c>
      <c r="AH124" s="161"/>
      <c r="AI124" s="81">
        <f t="shared" si="41"/>
        <v>0</v>
      </c>
      <c r="AJ124" s="152"/>
      <c r="AK124" s="153"/>
      <c r="AL124" s="160">
        <f t="shared" si="42"/>
        <v>0</v>
      </c>
      <c r="AM124" s="161"/>
      <c r="AN124" s="81">
        <f t="shared" si="43"/>
        <v>0</v>
      </c>
      <c r="AO124" s="152"/>
      <c r="AP124" s="153"/>
      <c r="AQ124" s="160">
        <f t="shared" si="44"/>
        <v>0</v>
      </c>
      <c r="AR124" s="161"/>
      <c r="AS124" s="81">
        <f t="shared" si="45"/>
        <v>0</v>
      </c>
      <c r="AT124" s="152"/>
      <c r="AU124" s="153"/>
      <c r="AV124" s="160">
        <f t="shared" si="16"/>
        <v>0</v>
      </c>
      <c r="AW124" s="161"/>
      <c r="AX124" s="81">
        <f t="shared" si="17"/>
        <v>0</v>
      </c>
      <c r="AY124" s="152"/>
      <c r="AZ124" s="153"/>
      <c r="BA124" s="160">
        <f t="shared" si="18"/>
        <v>0</v>
      </c>
      <c r="BB124" s="161"/>
      <c r="BC124" s="81">
        <f t="shared" si="19"/>
        <v>0</v>
      </c>
      <c r="BD124" s="152"/>
      <c r="BE124" s="153"/>
      <c r="BF124" s="160">
        <f t="shared" si="20"/>
        <v>0</v>
      </c>
      <c r="BG124" s="161"/>
      <c r="BH124" s="81">
        <f t="shared" si="21"/>
        <v>0</v>
      </c>
      <c r="BI124" s="152"/>
      <c r="BJ124" s="153"/>
      <c r="BK124" s="160">
        <f t="shared" si="22"/>
        <v>0</v>
      </c>
      <c r="BL124" s="161"/>
      <c r="BM124" s="81">
        <f t="shared" si="23"/>
        <v>0</v>
      </c>
      <c r="BN124" s="152"/>
      <c r="BO124" s="153"/>
      <c r="BP124" s="160">
        <f t="shared" si="24"/>
        <v>0</v>
      </c>
      <c r="BQ124" s="161"/>
      <c r="BR124" s="81">
        <f t="shared" si="25"/>
        <v>0</v>
      </c>
      <c r="BS124" s="152"/>
      <c r="BT124" s="153"/>
      <c r="BU124" s="160">
        <f t="shared" si="26"/>
        <v>0</v>
      </c>
      <c r="BV124" s="161"/>
      <c r="BW124" s="81">
        <f t="shared" si="27"/>
        <v>0</v>
      </c>
    </row>
    <row r="125" spans="1:75" s="13" customFormat="1" ht="14.1" customHeight="1" x14ac:dyDescent="0.3">
      <c r="A125" s="78"/>
      <c r="B125" s="208" t="str">
        <f>IF(ISBLANK($Q$29),"",VLOOKUP($Q$29,instellingsgegevens!$A$2:$AZ$495,50,FALSE))</f>
        <v/>
      </c>
      <c r="C125" s="209"/>
      <c r="D125" s="209"/>
      <c r="E125" s="210"/>
      <c r="F125" s="152"/>
      <c r="G125" s="153"/>
      <c r="H125" s="162">
        <f t="shared" si="30"/>
        <v>0</v>
      </c>
      <c r="I125" s="163"/>
      <c r="J125" s="81">
        <f t="shared" si="31"/>
        <v>0</v>
      </c>
      <c r="K125" s="152"/>
      <c r="L125" s="153"/>
      <c r="M125" s="160">
        <f t="shared" si="32"/>
        <v>0</v>
      </c>
      <c r="N125" s="161"/>
      <c r="O125" s="81">
        <f t="shared" si="33"/>
        <v>0</v>
      </c>
      <c r="P125" s="152"/>
      <c r="Q125" s="153"/>
      <c r="R125" s="160">
        <f t="shared" si="34"/>
        <v>0</v>
      </c>
      <c r="S125" s="161"/>
      <c r="T125" s="81">
        <f t="shared" si="35"/>
        <v>0</v>
      </c>
      <c r="U125" s="152"/>
      <c r="V125" s="153"/>
      <c r="W125" s="160">
        <f t="shared" si="36"/>
        <v>0</v>
      </c>
      <c r="X125" s="161"/>
      <c r="Y125" s="81">
        <f t="shared" si="37"/>
        <v>0</v>
      </c>
      <c r="Z125" s="152"/>
      <c r="AA125" s="153"/>
      <c r="AB125" s="160">
        <f t="shared" si="38"/>
        <v>0</v>
      </c>
      <c r="AC125" s="161"/>
      <c r="AD125" s="81">
        <f t="shared" si="39"/>
        <v>0</v>
      </c>
      <c r="AE125" s="152"/>
      <c r="AF125" s="153"/>
      <c r="AG125" s="160">
        <f t="shared" si="40"/>
        <v>0</v>
      </c>
      <c r="AH125" s="161"/>
      <c r="AI125" s="81">
        <f t="shared" si="41"/>
        <v>0</v>
      </c>
      <c r="AJ125" s="152"/>
      <c r="AK125" s="153"/>
      <c r="AL125" s="160">
        <f t="shared" si="42"/>
        <v>0</v>
      </c>
      <c r="AM125" s="161"/>
      <c r="AN125" s="81">
        <f t="shared" si="43"/>
        <v>0</v>
      </c>
      <c r="AO125" s="152"/>
      <c r="AP125" s="153"/>
      <c r="AQ125" s="160">
        <f t="shared" si="44"/>
        <v>0</v>
      </c>
      <c r="AR125" s="161"/>
      <c r="AS125" s="81">
        <f t="shared" si="45"/>
        <v>0</v>
      </c>
      <c r="AT125" s="152"/>
      <c r="AU125" s="153"/>
      <c r="AV125" s="160">
        <f t="shared" si="16"/>
        <v>0</v>
      </c>
      <c r="AW125" s="161"/>
      <c r="AX125" s="81">
        <f t="shared" si="17"/>
        <v>0</v>
      </c>
      <c r="AY125" s="152"/>
      <c r="AZ125" s="153"/>
      <c r="BA125" s="160">
        <f t="shared" si="18"/>
        <v>0</v>
      </c>
      <c r="BB125" s="161"/>
      <c r="BC125" s="81">
        <f t="shared" si="19"/>
        <v>0</v>
      </c>
      <c r="BD125" s="152"/>
      <c r="BE125" s="153"/>
      <c r="BF125" s="160">
        <f t="shared" si="20"/>
        <v>0</v>
      </c>
      <c r="BG125" s="161"/>
      <c r="BH125" s="81">
        <f t="shared" si="21"/>
        <v>0</v>
      </c>
      <c r="BI125" s="152"/>
      <c r="BJ125" s="153"/>
      <c r="BK125" s="160">
        <f t="shared" si="22"/>
        <v>0</v>
      </c>
      <c r="BL125" s="161"/>
      <c r="BM125" s="81">
        <f t="shared" si="23"/>
        <v>0</v>
      </c>
      <c r="BN125" s="152"/>
      <c r="BO125" s="153"/>
      <c r="BP125" s="160">
        <f t="shared" si="24"/>
        <v>0</v>
      </c>
      <c r="BQ125" s="161"/>
      <c r="BR125" s="81">
        <f t="shared" si="25"/>
        <v>0</v>
      </c>
      <c r="BS125" s="152"/>
      <c r="BT125" s="153"/>
      <c r="BU125" s="160">
        <f t="shared" si="26"/>
        <v>0</v>
      </c>
      <c r="BV125" s="161"/>
      <c r="BW125" s="81">
        <f t="shared" si="27"/>
        <v>0</v>
      </c>
    </row>
    <row r="126" spans="1:75" s="13" customFormat="1" ht="14.1" customHeight="1" x14ac:dyDescent="0.3">
      <c r="A126" s="78"/>
      <c r="B126" s="208" t="str">
        <f>IF(ISBLANK($Q$29),"",VLOOKUP($Q$29,instellingsgegevens!$A$2:$AZ$495,51,FALSE))</f>
        <v/>
      </c>
      <c r="C126" s="209"/>
      <c r="D126" s="209"/>
      <c r="E126" s="210"/>
      <c r="F126" s="152"/>
      <c r="G126" s="153"/>
      <c r="H126" s="162">
        <f t="shared" si="30"/>
        <v>0</v>
      </c>
      <c r="I126" s="163"/>
      <c r="J126" s="81">
        <f t="shared" si="31"/>
        <v>0</v>
      </c>
      <c r="K126" s="152"/>
      <c r="L126" s="153"/>
      <c r="M126" s="160">
        <f t="shared" si="32"/>
        <v>0</v>
      </c>
      <c r="N126" s="161"/>
      <c r="O126" s="81">
        <f t="shared" si="33"/>
        <v>0</v>
      </c>
      <c r="P126" s="152"/>
      <c r="Q126" s="153"/>
      <c r="R126" s="160">
        <f t="shared" si="34"/>
        <v>0</v>
      </c>
      <c r="S126" s="161"/>
      <c r="T126" s="81">
        <f t="shared" si="35"/>
        <v>0</v>
      </c>
      <c r="U126" s="152"/>
      <c r="V126" s="153"/>
      <c r="W126" s="160">
        <f t="shared" si="36"/>
        <v>0</v>
      </c>
      <c r="X126" s="161"/>
      <c r="Y126" s="81">
        <f t="shared" si="37"/>
        <v>0</v>
      </c>
      <c r="Z126" s="152"/>
      <c r="AA126" s="153"/>
      <c r="AB126" s="160">
        <f t="shared" si="38"/>
        <v>0</v>
      </c>
      <c r="AC126" s="161"/>
      <c r="AD126" s="81">
        <f t="shared" si="39"/>
        <v>0</v>
      </c>
      <c r="AE126" s="152"/>
      <c r="AF126" s="153"/>
      <c r="AG126" s="160">
        <f t="shared" si="40"/>
        <v>0</v>
      </c>
      <c r="AH126" s="161"/>
      <c r="AI126" s="81">
        <f t="shared" si="41"/>
        <v>0</v>
      </c>
      <c r="AJ126" s="152"/>
      <c r="AK126" s="153"/>
      <c r="AL126" s="160">
        <f t="shared" si="42"/>
        <v>0</v>
      </c>
      <c r="AM126" s="161"/>
      <c r="AN126" s="81">
        <f t="shared" si="43"/>
        <v>0</v>
      </c>
      <c r="AO126" s="152"/>
      <c r="AP126" s="153"/>
      <c r="AQ126" s="160">
        <f t="shared" si="44"/>
        <v>0</v>
      </c>
      <c r="AR126" s="161"/>
      <c r="AS126" s="81">
        <f t="shared" si="45"/>
        <v>0</v>
      </c>
      <c r="AT126" s="152"/>
      <c r="AU126" s="153"/>
      <c r="AV126" s="160">
        <f t="shared" si="16"/>
        <v>0</v>
      </c>
      <c r="AW126" s="161"/>
      <c r="AX126" s="81">
        <f t="shared" si="17"/>
        <v>0</v>
      </c>
      <c r="AY126" s="152"/>
      <c r="AZ126" s="153"/>
      <c r="BA126" s="160">
        <f t="shared" si="18"/>
        <v>0</v>
      </c>
      <c r="BB126" s="161"/>
      <c r="BC126" s="81">
        <f t="shared" si="19"/>
        <v>0</v>
      </c>
      <c r="BD126" s="152"/>
      <c r="BE126" s="153"/>
      <c r="BF126" s="160">
        <f t="shared" si="20"/>
        <v>0</v>
      </c>
      <c r="BG126" s="161"/>
      <c r="BH126" s="81">
        <f t="shared" si="21"/>
        <v>0</v>
      </c>
      <c r="BI126" s="152"/>
      <c r="BJ126" s="153"/>
      <c r="BK126" s="160">
        <f t="shared" si="22"/>
        <v>0</v>
      </c>
      <c r="BL126" s="161"/>
      <c r="BM126" s="81">
        <f t="shared" si="23"/>
        <v>0</v>
      </c>
      <c r="BN126" s="152"/>
      <c r="BO126" s="153"/>
      <c r="BP126" s="160">
        <f t="shared" si="24"/>
        <v>0</v>
      </c>
      <c r="BQ126" s="161"/>
      <c r="BR126" s="81">
        <f t="shared" si="25"/>
        <v>0</v>
      </c>
      <c r="BS126" s="152"/>
      <c r="BT126" s="153"/>
      <c r="BU126" s="160">
        <f t="shared" si="26"/>
        <v>0</v>
      </c>
      <c r="BV126" s="161"/>
      <c r="BW126" s="81">
        <f t="shared" si="27"/>
        <v>0</v>
      </c>
    </row>
    <row r="127" spans="1:75" s="13" customFormat="1" ht="14.1" customHeight="1" x14ac:dyDescent="0.3">
      <c r="A127" s="78"/>
      <c r="B127" s="208" t="str">
        <f>IF(ISBLANK($Q$29),"",VLOOKUP($Q$29,instellingsgegevens!$A$2:$AZ$495,52,FALSE))</f>
        <v/>
      </c>
      <c r="C127" s="209"/>
      <c r="D127" s="209"/>
      <c r="E127" s="210"/>
      <c r="F127" s="152"/>
      <c r="G127" s="153"/>
      <c r="H127" s="162">
        <f t="shared" si="30"/>
        <v>0</v>
      </c>
      <c r="I127" s="163"/>
      <c r="J127" s="81">
        <f t="shared" si="31"/>
        <v>0</v>
      </c>
      <c r="K127" s="152"/>
      <c r="L127" s="153"/>
      <c r="M127" s="160">
        <f t="shared" si="32"/>
        <v>0</v>
      </c>
      <c r="N127" s="161"/>
      <c r="O127" s="81">
        <f t="shared" si="33"/>
        <v>0</v>
      </c>
      <c r="P127" s="152"/>
      <c r="Q127" s="153"/>
      <c r="R127" s="160">
        <f t="shared" si="34"/>
        <v>0</v>
      </c>
      <c r="S127" s="161"/>
      <c r="T127" s="81">
        <f t="shared" si="35"/>
        <v>0</v>
      </c>
      <c r="U127" s="152"/>
      <c r="V127" s="153"/>
      <c r="W127" s="160">
        <f t="shared" si="36"/>
        <v>0</v>
      </c>
      <c r="X127" s="161"/>
      <c r="Y127" s="81">
        <f t="shared" si="37"/>
        <v>0</v>
      </c>
      <c r="Z127" s="152"/>
      <c r="AA127" s="153"/>
      <c r="AB127" s="160">
        <f t="shared" si="38"/>
        <v>0</v>
      </c>
      <c r="AC127" s="161"/>
      <c r="AD127" s="81">
        <f t="shared" si="39"/>
        <v>0</v>
      </c>
      <c r="AE127" s="152"/>
      <c r="AF127" s="153"/>
      <c r="AG127" s="160">
        <f t="shared" si="40"/>
        <v>0</v>
      </c>
      <c r="AH127" s="161"/>
      <c r="AI127" s="81">
        <f t="shared" si="41"/>
        <v>0</v>
      </c>
      <c r="AJ127" s="152"/>
      <c r="AK127" s="153"/>
      <c r="AL127" s="160">
        <f t="shared" si="42"/>
        <v>0</v>
      </c>
      <c r="AM127" s="161"/>
      <c r="AN127" s="81">
        <f t="shared" si="43"/>
        <v>0</v>
      </c>
      <c r="AO127" s="152"/>
      <c r="AP127" s="153"/>
      <c r="AQ127" s="160">
        <f t="shared" si="44"/>
        <v>0</v>
      </c>
      <c r="AR127" s="161"/>
      <c r="AS127" s="81">
        <f t="shared" si="45"/>
        <v>0</v>
      </c>
      <c r="AT127" s="152"/>
      <c r="AU127" s="153"/>
      <c r="AV127" s="160">
        <f t="shared" si="16"/>
        <v>0</v>
      </c>
      <c r="AW127" s="161"/>
      <c r="AX127" s="81">
        <f t="shared" si="17"/>
        <v>0</v>
      </c>
      <c r="AY127" s="152"/>
      <c r="AZ127" s="153"/>
      <c r="BA127" s="160">
        <f t="shared" si="18"/>
        <v>0</v>
      </c>
      <c r="BB127" s="161"/>
      <c r="BC127" s="81">
        <f t="shared" si="19"/>
        <v>0</v>
      </c>
      <c r="BD127" s="152"/>
      <c r="BE127" s="153"/>
      <c r="BF127" s="160">
        <f t="shared" si="20"/>
        <v>0</v>
      </c>
      <c r="BG127" s="161"/>
      <c r="BH127" s="81">
        <f t="shared" si="21"/>
        <v>0</v>
      </c>
      <c r="BI127" s="152"/>
      <c r="BJ127" s="153"/>
      <c r="BK127" s="160">
        <f t="shared" si="22"/>
        <v>0</v>
      </c>
      <c r="BL127" s="161"/>
      <c r="BM127" s="81">
        <f t="shared" si="23"/>
        <v>0</v>
      </c>
      <c r="BN127" s="152"/>
      <c r="BO127" s="153"/>
      <c r="BP127" s="160">
        <f t="shared" si="24"/>
        <v>0</v>
      </c>
      <c r="BQ127" s="161"/>
      <c r="BR127" s="81">
        <f t="shared" si="25"/>
        <v>0</v>
      </c>
      <c r="BS127" s="152"/>
      <c r="BT127" s="153"/>
      <c r="BU127" s="160">
        <f t="shared" si="26"/>
        <v>0</v>
      </c>
      <c r="BV127" s="161"/>
      <c r="BW127" s="81">
        <f t="shared" si="27"/>
        <v>0</v>
      </c>
    </row>
    <row r="128" spans="1:75" s="13" customFormat="1" ht="14.1" customHeight="1" thickBot="1" x14ac:dyDescent="0.35">
      <c r="A128" s="78"/>
      <c r="B128" s="170"/>
      <c r="C128" s="171"/>
      <c r="D128" s="171"/>
      <c r="E128" s="172"/>
      <c r="F128" s="152"/>
      <c r="G128" s="153"/>
      <c r="H128" s="162">
        <f t="shared" si="30"/>
        <v>0</v>
      </c>
      <c r="I128" s="163"/>
      <c r="J128" s="81">
        <f t="shared" si="31"/>
        <v>0</v>
      </c>
      <c r="K128" s="152"/>
      <c r="L128" s="153"/>
      <c r="M128" s="160">
        <f t="shared" si="32"/>
        <v>0</v>
      </c>
      <c r="N128" s="161"/>
      <c r="O128" s="81">
        <f t="shared" si="33"/>
        <v>0</v>
      </c>
      <c r="P128" s="152"/>
      <c r="Q128" s="153"/>
      <c r="R128" s="160">
        <f t="shared" si="34"/>
        <v>0</v>
      </c>
      <c r="S128" s="161"/>
      <c r="T128" s="81">
        <f t="shared" si="35"/>
        <v>0</v>
      </c>
      <c r="U128" s="152"/>
      <c r="V128" s="153"/>
      <c r="W128" s="160">
        <f t="shared" si="36"/>
        <v>0</v>
      </c>
      <c r="X128" s="161"/>
      <c r="Y128" s="81">
        <f t="shared" si="37"/>
        <v>0</v>
      </c>
      <c r="Z128" s="152"/>
      <c r="AA128" s="153"/>
      <c r="AB128" s="160">
        <f t="shared" si="38"/>
        <v>0</v>
      </c>
      <c r="AC128" s="161"/>
      <c r="AD128" s="81">
        <f t="shared" si="39"/>
        <v>0</v>
      </c>
      <c r="AE128" s="152"/>
      <c r="AF128" s="153"/>
      <c r="AG128" s="160">
        <f t="shared" si="40"/>
        <v>0</v>
      </c>
      <c r="AH128" s="161"/>
      <c r="AI128" s="81">
        <f t="shared" si="41"/>
        <v>0</v>
      </c>
      <c r="AJ128" s="152"/>
      <c r="AK128" s="153"/>
      <c r="AL128" s="160">
        <f t="shared" si="42"/>
        <v>0</v>
      </c>
      <c r="AM128" s="161"/>
      <c r="AN128" s="81">
        <f t="shared" si="43"/>
        <v>0</v>
      </c>
      <c r="AO128" s="152"/>
      <c r="AP128" s="153"/>
      <c r="AQ128" s="160">
        <f t="shared" si="44"/>
        <v>0</v>
      </c>
      <c r="AR128" s="161"/>
      <c r="AS128" s="81">
        <f t="shared" si="45"/>
        <v>0</v>
      </c>
      <c r="AT128" s="152"/>
      <c r="AU128" s="153"/>
      <c r="AV128" s="160">
        <f t="shared" si="16"/>
        <v>0</v>
      </c>
      <c r="AW128" s="161"/>
      <c r="AX128" s="81">
        <f t="shared" si="17"/>
        <v>0</v>
      </c>
      <c r="AY128" s="152"/>
      <c r="AZ128" s="153"/>
      <c r="BA128" s="160">
        <f t="shared" si="18"/>
        <v>0</v>
      </c>
      <c r="BB128" s="161"/>
      <c r="BC128" s="81">
        <f t="shared" si="19"/>
        <v>0</v>
      </c>
      <c r="BD128" s="152"/>
      <c r="BE128" s="153"/>
      <c r="BF128" s="160">
        <f t="shared" si="20"/>
        <v>0</v>
      </c>
      <c r="BG128" s="161"/>
      <c r="BH128" s="81">
        <f t="shared" si="21"/>
        <v>0</v>
      </c>
      <c r="BI128" s="152"/>
      <c r="BJ128" s="153"/>
      <c r="BK128" s="160">
        <f t="shared" si="22"/>
        <v>0</v>
      </c>
      <c r="BL128" s="161"/>
      <c r="BM128" s="81">
        <f t="shared" si="23"/>
        <v>0</v>
      </c>
      <c r="BN128" s="152"/>
      <c r="BO128" s="153"/>
      <c r="BP128" s="160">
        <f t="shared" si="24"/>
        <v>0</v>
      </c>
      <c r="BQ128" s="161"/>
      <c r="BR128" s="81">
        <f t="shared" si="25"/>
        <v>0</v>
      </c>
      <c r="BS128" s="152"/>
      <c r="BT128" s="153"/>
      <c r="BU128" s="160">
        <f t="shared" si="26"/>
        <v>0</v>
      </c>
      <c r="BV128" s="161"/>
      <c r="BW128" s="81">
        <f t="shared" si="27"/>
        <v>0</v>
      </c>
    </row>
    <row r="129" spans="1:75" s="13" customFormat="1" ht="14.1" customHeight="1" thickBot="1" x14ac:dyDescent="0.35">
      <c r="A129" s="78"/>
      <c r="B129" s="178" t="s">
        <v>69</v>
      </c>
      <c r="C129" s="179"/>
      <c r="D129" s="179"/>
      <c r="E129" s="180"/>
      <c r="F129" s="211">
        <f>SUM(F87:G128)</f>
        <v>0</v>
      </c>
      <c r="G129" s="212"/>
      <c r="H129" s="173">
        <f>SUM(H87:I128)</f>
        <v>0</v>
      </c>
      <c r="I129" s="174"/>
      <c r="J129" s="32">
        <f>SUM(J87:J128)</f>
        <v>0</v>
      </c>
      <c r="K129" s="211">
        <f>SUM(K87:L128)</f>
        <v>0</v>
      </c>
      <c r="L129" s="174"/>
      <c r="M129" s="173">
        <f>SUM(M87:N128)</f>
        <v>0</v>
      </c>
      <c r="N129" s="174"/>
      <c r="O129" s="32">
        <f>SUM(O87:O128)</f>
        <v>0</v>
      </c>
      <c r="P129" s="211">
        <f>SUM(P87:Q128)</f>
        <v>0</v>
      </c>
      <c r="Q129" s="174"/>
      <c r="R129" s="173">
        <f>SUM(R87:S128)</f>
        <v>0</v>
      </c>
      <c r="S129" s="174"/>
      <c r="T129" s="32">
        <f>SUM(T87:T128)</f>
        <v>0</v>
      </c>
      <c r="U129" s="211">
        <f>SUM(U87:V128)</f>
        <v>0</v>
      </c>
      <c r="V129" s="174"/>
      <c r="W129" s="173">
        <f>SUM(W87:X128)</f>
        <v>0</v>
      </c>
      <c r="X129" s="174"/>
      <c r="Y129" s="32">
        <f>SUM(Y87:Y128)</f>
        <v>0</v>
      </c>
      <c r="Z129" s="211">
        <f>SUM(Z87:AA128)</f>
        <v>0</v>
      </c>
      <c r="AA129" s="174"/>
      <c r="AB129" s="173">
        <f>SUM(AB87:AC128)</f>
        <v>0</v>
      </c>
      <c r="AC129" s="174"/>
      <c r="AD129" s="32">
        <f>SUM(AD87:AD128)</f>
        <v>0</v>
      </c>
      <c r="AE129" s="211">
        <f>SUM(AE87:AF128)</f>
        <v>0</v>
      </c>
      <c r="AF129" s="174"/>
      <c r="AG129" s="173">
        <f>SUM(AG87:AH128)</f>
        <v>0</v>
      </c>
      <c r="AH129" s="174"/>
      <c r="AI129" s="32">
        <f>SUM(AI87:AI128)</f>
        <v>0</v>
      </c>
      <c r="AJ129" s="211">
        <f>SUM(AJ87:AK128)</f>
        <v>0</v>
      </c>
      <c r="AK129" s="174"/>
      <c r="AL129" s="173">
        <f>SUM(AL87:AM128)</f>
        <v>0</v>
      </c>
      <c r="AM129" s="174"/>
      <c r="AN129" s="32">
        <f>SUM(AN87:AN128)</f>
        <v>0</v>
      </c>
      <c r="AO129" s="211">
        <f>SUM(AO87:AP128)</f>
        <v>0</v>
      </c>
      <c r="AP129" s="174"/>
      <c r="AQ129" s="173">
        <f>SUM(AQ87:AR128)</f>
        <v>0</v>
      </c>
      <c r="AR129" s="174"/>
      <c r="AS129" s="32">
        <f>SUM(AS87:AS128)</f>
        <v>0</v>
      </c>
      <c r="AT129" s="211">
        <f>SUM(AT87:AU128)</f>
        <v>0</v>
      </c>
      <c r="AU129" s="174"/>
      <c r="AV129" s="173">
        <f>SUM(AV87:AW128)</f>
        <v>0</v>
      </c>
      <c r="AW129" s="174"/>
      <c r="AX129" s="32">
        <f>SUM(AX87:AX128)</f>
        <v>0</v>
      </c>
      <c r="AY129" s="211">
        <f>SUM(AY87:AZ128)</f>
        <v>0</v>
      </c>
      <c r="AZ129" s="174"/>
      <c r="BA129" s="173">
        <f>SUM(BA87:BB128)</f>
        <v>0</v>
      </c>
      <c r="BB129" s="174"/>
      <c r="BC129" s="32">
        <f>SUM(BC87:BC128)</f>
        <v>0</v>
      </c>
      <c r="BD129" s="211">
        <f>SUM(BD87:BE128)</f>
        <v>0</v>
      </c>
      <c r="BE129" s="174"/>
      <c r="BF129" s="173">
        <f>SUM(BF87:BG128)</f>
        <v>0</v>
      </c>
      <c r="BG129" s="174"/>
      <c r="BH129" s="32">
        <f>SUM(BH87:BH128)</f>
        <v>0</v>
      </c>
      <c r="BI129" s="211">
        <f>SUM(BI87:BJ128)</f>
        <v>0</v>
      </c>
      <c r="BJ129" s="174"/>
      <c r="BK129" s="173">
        <f>SUM(BK87:BL128)</f>
        <v>0</v>
      </c>
      <c r="BL129" s="174"/>
      <c r="BM129" s="32">
        <f>SUM(BM87:BM128)</f>
        <v>0</v>
      </c>
      <c r="BN129" s="211">
        <f>SUM(BN87:BO128)</f>
        <v>0</v>
      </c>
      <c r="BO129" s="174"/>
      <c r="BP129" s="173">
        <f>SUM(BP87:BQ128)</f>
        <v>0</v>
      </c>
      <c r="BQ129" s="174"/>
      <c r="BR129" s="32">
        <f>SUM(BR87:BR128)</f>
        <v>0</v>
      </c>
      <c r="BS129" s="211">
        <f>SUM(BS87:BT128)</f>
        <v>0</v>
      </c>
      <c r="BT129" s="174"/>
      <c r="BU129" s="173">
        <f>SUM(BU87:BV128)</f>
        <v>0</v>
      </c>
      <c r="BV129" s="174"/>
      <c r="BW129" s="32">
        <f>SUM(BW87:BW128)</f>
        <v>0</v>
      </c>
    </row>
    <row r="130" spans="1:75" s="13" customFormat="1" ht="6.75" customHeight="1" x14ac:dyDescent="0.3">
      <c r="A130" s="78"/>
      <c r="B130" s="33"/>
      <c r="C130" s="33"/>
      <c r="D130" s="34"/>
      <c r="E130" s="35"/>
      <c r="F130" s="33"/>
      <c r="G130" s="34"/>
      <c r="H130" s="35"/>
      <c r="I130" s="33"/>
      <c r="J130" s="34"/>
      <c r="K130" s="35"/>
      <c r="L130" s="33"/>
      <c r="M130" s="34"/>
      <c r="N130" s="35"/>
      <c r="O130" s="33"/>
      <c r="P130" s="34"/>
      <c r="Q130" s="35"/>
      <c r="R130" s="33"/>
      <c r="S130" s="34"/>
      <c r="T130" s="82"/>
      <c r="U130" s="82"/>
      <c r="V130" s="82"/>
      <c r="W130" s="82"/>
      <c r="X130" s="82"/>
      <c r="Y130" s="82"/>
      <c r="Z130" s="82"/>
      <c r="AA130" s="82"/>
      <c r="AB130" s="82"/>
      <c r="AC130" s="83"/>
      <c r="AD130" s="83"/>
      <c r="AE130" s="83"/>
      <c r="AF130" s="83"/>
      <c r="AG130" s="83"/>
      <c r="AH130" s="83"/>
      <c r="AI130" s="82"/>
      <c r="AJ130" s="82"/>
      <c r="AK130" s="83"/>
      <c r="AL130" s="83"/>
      <c r="AM130" s="83"/>
      <c r="AN130" s="83"/>
      <c r="AO130" s="83"/>
      <c r="AP130" s="84"/>
      <c r="AQ130" s="74"/>
      <c r="AR130" s="55"/>
      <c r="AS130" s="55"/>
      <c r="AT130" s="5"/>
      <c r="AU130" s="5"/>
      <c r="AV130" s="5"/>
      <c r="AW130" s="5"/>
      <c r="AX130" s="5"/>
      <c r="AY130" s="5"/>
      <c r="AZ130" s="5"/>
      <c r="BA130" s="5"/>
      <c r="BB130" s="5"/>
      <c r="BC130" s="5"/>
      <c r="BD130" s="5"/>
      <c r="BE130" s="5"/>
      <c r="BF130" s="5"/>
      <c r="BG130" s="5"/>
      <c r="BH130" s="5"/>
      <c r="BI130" s="5"/>
      <c r="BJ130" s="5"/>
      <c r="BK130" s="5"/>
      <c r="BL130" s="5"/>
      <c r="BM130" s="5"/>
    </row>
    <row r="131" spans="1:75" s="13" customFormat="1" ht="14.1" customHeight="1" x14ac:dyDescent="0.3">
      <c r="A131" s="78"/>
      <c r="B131" s="278" t="str">
        <f>IF(AND(Q29&lt;&gt;"",ISBLANK(F85),F194&gt;0),"",IF(ISBLANK(Q29),"",IF(J129&lt;12,"De eerste aanvraag kunt u pas indienen als er minstens 12 AN zijn binnen de scholengemeenschap. Als u alleen GAN aangeeft onder punt 7, dan verdwijnt deze foutmelding.","")))</f>
        <v/>
      </c>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row>
    <row r="132" spans="1:75" s="13" customFormat="1" ht="14.1" customHeight="1" x14ac:dyDescent="0.3">
      <c r="A132" s="78"/>
      <c r="B132" s="278" t="str">
        <f>IF(OR(ISBLANK(C56),ISBLANK(B142)),IF(OR(AND(K85&lt;&gt;"",O129&lt;4),AND(P85&lt;&gt;"",T129&lt;4),AND(U85&lt;&gt;"",Y129&lt;4),AND(Z85&lt;&gt;"",AD129&lt;4),AND(AE85&lt;&gt;"",AI129&lt;4),AND(AJ85&lt;&gt;"",AN129&lt;4),AND(AO85&lt;&gt;"",AS129&lt;4),AND(AT85&lt;&gt;"",AX129&lt;4),AND(AY85&lt;&gt;"",BC129&lt;4),AND(BD85&lt;&gt;"",BH129&lt;4),AND(BI85&lt;&gt;"",BM129&lt;4),AND(BN85&lt;&gt;"",BR129&lt;4),AND(BS85&lt;&gt;"",BW129&lt;4)),"U kunt pas een nieuwe aanvraag indienen als u minstens 4 AN meer hebt in vergelijking met de vorige berekeningsdatum. Voer de hieronder vermelde instructie uit als het reële aantal AN in uw scholengemeenschap is gedaald tot minder dan 4.",""),"")</f>
        <v/>
      </c>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row>
    <row r="133" spans="1:75" s="13" customFormat="1" ht="14.1" customHeight="1" x14ac:dyDescent="0.3">
      <c r="A133" s="78"/>
      <c r="B133" s="255" t="str">
        <f>IF(AND(ISBLANK(F85),OR(C54&lt;&gt;"",B72&lt;&gt;"")),"U hebt de EERSTE berekeningsdatum niet ingevuld!","")</f>
        <v/>
      </c>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row>
    <row r="134" spans="1:75" s="13" customFormat="1" ht="14.1" customHeight="1" x14ac:dyDescent="0.3">
      <c r="A134" s="78"/>
      <c r="B134" s="255" t="str">
        <f>IF(OR(AND(ISBLANK(F85),F129&gt;0),AND(ISBLANK(K85),K129&gt;0),AND(ISBLANK(P85),P129&gt;0),AND(ISBLANK(U85),U129&gt;0),AND(ISBLANK(Z85),Z129&gt;0),AND(ISBLANK(AE85),AE129&gt;0),AND(ISBLANK(AJ85),AJ129&gt;0),AND(ISBLANK(AO85),AO129&gt;0),AND(ISBLANK(AT85),AT129&gt;0),AND(ISBLANK(AY85),AY129&gt;0),AND(ISBLANK(BD85),BD129&gt;0),AND(ISBLANK(BI85),BI129&gt;0),AND(ISBLANK(BN85),BN129&gt;0),AND(ISBLANK(BS85),BS129&gt;0)),"U hebt een of meer berekeningsdatums niet ingevuld. Daardoor worden de berekeningen niet correct uitgevoerd.","")</f>
        <v/>
      </c>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row>
    <row r="135" spans="1:75" s="13" customFormat="1" ht="14.1" customHeight="1" x14ac:dyDescent="0.3">
      <c r="A135" s="78"/>
      <c r="B135" s="255" t="str">
        <f>IF(OR(AND((K129&gt;0),(K85&lt;F85)),AND((P129&gt;0),(P85&lt;K85)),AND((U129&gt;0),(U85&lt;P85)),AND((Z129&gt;0),(Z85&lt;U85)),AND((AE129&gt;0),(AE85&lt;Z85)),AND((AJ129&gt;0),(AJ85&lt;AE85)),AND((AO129&gt;0),(AO85&lt;AJ85)),AND((AT129&gt;0),(AT85&lt;AO85)),AND((AY129)&gt;0),(AY85&lt;AT85),AND((BD129&gt;0),(BD85&lt;AY85)),AND((BI129&gt;0),(BI85&lt;BD85)),AND((BN129&gt;0),(BN85&lt;BI85)),AND((BS129&gt;0),(BS85&lt;BN85))),"De chronologische volgorde van de huidige of vorige berekeningsdatums is niet correct!","")</f>
        <v/>
      </c>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row>
    <row r="136" spans="1:75" s="13" customFormat="1" ht="14.1" customHeight="1" x14ac:dyDescent="0.3">
      <c r="A136" s="78"/>
      <c r="B136" s="278" t="str">
        <f>IF(OR(ISBLANK(C56),ISBLANK(B142)),IF(OR(AND(K85&lt;&gt;"",K129&lt;4),AND(P85&lt;&gt;"",P129&lt;4),AND(U85&lt;&gt;"",U129&lt;4),AND(Z85&lt;&gt;"",Z129&lt;4),AND(AE85&lt;&gt;"",AE129&lt;4),AND(AJ85&lt;&gt;"",AJ129&lt;4),AND(AO85&lt;&gt;"",AO129&lt;4),AND(AT85&lt;&gt;"",AT129&lt;4),AND(AY85&lt;&gt;"",AY129&lt;4),AND(BD85&lt;&gt;"",BD129&lt;4),AND(BI85&lt;&gt;"",BI129&lt;4),AND(BN85&lt;&gt;"",BN129&lt;4),AND(BS85&lt;&gt;"",BS129&lt;4)),"Het reële aantal AN in uw scholengemeenschap is gedaald tot minder dan 4. Kruis bij vraag 2 het derde  hokje aan en vul bij vraag 6 de datum in.",""),"")</f>
        <v/>
      </c>
      <c r="C136" s="279"/>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row>
    <row r="137" spans="1:75" s="13" customFormat="1" ht="14.1" customHeight="1" x14ac:dyDescent="0.3">
      <c r="A137" s="78"/>
      <c r="B137" s="245" t="str">
        <f>IF(AND(U83="",AX83=""),"","U hebt niet alle berekeningsdatums (correct) ingevuld!")</f>
        <v/>
      </c>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5"/>
      <c r="AU137" s="5"/>
      <c r="AV137" s="5"/>
      <c r="AW137" s="5"/>
      <c r="AX137" s="5"/>
      <c r="AY137" s="5"/>
      <c r="AZ137" s="5"/>
      <c r="BA137" s="5"/>
      <c r="BB137" s="5"/>
      <c r="BC137" s="5"/>
      <c r="BD137" s="5"/>
      <c r="BE137" s="5"/>
      <c r="BF137" s="5"/>
      <c r="BG137" s="5"/>
      <c r="BH137" s="5"/>
      <c r="BI137" s="5"/>
      <c r="BJ137" s="5"/>
      <c r="BK137" s="5"/>
      <c r="BL137" s="5"/>
      <c r="BM137" s="5"/>
    </row>
    <row r="138" spans="1:75" ht="15.6" x14ac:dyDescent="0.3">
      <c r="A138" s="31"/>
      <c r="B138" s="264" t="s">
        <v>65</v>
      </c>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7"/>
      <c r="BP138" s="197"/>
      <c r="BQ138" s="197"/>
      <c r="BR138" s="197"/>
      <c r="BS138" s="197"/>
      <c r="BT138" s="197"/>
      <c r="BU138" s="197"/>
      <c r="BV138" s="197"/>
      <c r="BW138" s="197"/>
    </row>
    <row r="139" spans="1:75" s="13" customFormat="1" ht="3.75" customHeight="1" x14ac:dyDescent="0.3">
      <c r="A139" s="22"/>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2"/>
      <c r="AT139" s="5"/>
      <c r="AU139" s="5"/>
      <c r="AV139" s="5"/>
      <c r="AW139" s="5"/>
      <c r="AX139" s="5"/>
      <c r="AY139" s="5"/>
      <c r="AZ139" s="5"/>
      <c r="BA139" s="5"/>
      <c r="BB139" s="5"/>
      <c r="BC139" s="5"/>
      <c r="BD139" s="5"/>
      <c r="BE139" s="5"/>
      <c r="BF139" s="5"/>
      <c r="BG139" s="5"/>
      <c r="BH139" s="5"/>
      <c r="BI139" s="5"/>
      <c r="BJ139" s="5"/>
      <c r="BK139" s="5"/>
      <c r="BL139" s="5"/>
      <c r="BM139" s="5"/>
    </row>
    <row r="140" spans="1:75" x14ac:dyDescent="0.3">
      <c r="A140" s="63">
        <v>6</v>
      </c>
      <c r="B140" s="35" t="s">
        <v>50</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4"/>
    </row>
    <row r="141" spans="1:75" ht="19.8" customHeight="1" x14ac:dyDescent="0.3">
      <c r="A141" s="23"/>
      <c r="B141" s="140" t="str">
        <f xml:space="preserve"> "Als u deze vraag beantwoord hebt, gaat u naar vraag "&amp;A198&amp;"."</f>
        <v>Als u deze vraag beantwoord hebt, gaat u naar vraag 8.</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4"/>
    </row>
    <row r="142" spans="1:75" x14ac:dyDescent="0.3">
      <c r="A142" s="24"/>
      <c r="B142" s="175"/>
      <c r="C142" s="176"/>
      <c r="D142" s="176"/>
      <c r="E142" s="176"/>
      <c r="F142" s="176"/>
      <c r="G142" s="177"/>
      <c r="H142" s="181" t="str">
        <f>IF(AND(C56&lt;&gt;"",ISBLANK(B142)),"&lt;= Vul de datum in.","")</f>
        <v/>
      </c>
      <c r="I142" s="182"/>
      <c r="J142" s="182"/>
      <c r="K142" s="182"/>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row>
    <row r="143" spans="1:75" ht="12.6" hidden="1" customHeight="1" x14ac:dyDescent="0.3">
      <c r="A143" s="24"/>
      <c r="B143" s="255" t="str">
        <f>IF(B142="","",IF(OR(AND(K129&lt;4,O129&lt;&gt;0),AND(P129&lt;4,T129&lt;&gt;0),AND(U129&lt;4,Y129&lt;&gt;0),AND(Z129&lt;4,AD129&lt;&gt;0),AND(AE129&lt;4,AI129&lt;&gt;0),AND(AJ129&lt;4,AN129&lt;&gt;0),AND(AO129&lt;4,AS129&lt;&gt;0)),"","Het totaal aantal AN op de begindatum van de daling bij vraag "&amp;A77&amp;" is niet gedaald tot minder dan vier! Vul bij vraag "&amp;A77&amp;" dezelfde datum in als bij vraag "&amp;A140&amp;" en vul het aantal AN in dat lager is dan 4."))</f>
        <v/>
      </c>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197"/>
      <c r="AU143" s="197"/>
      <c r="AV143" s="197"/>
      <c r="AW143" s="197"/>
      <c r="AX143" s="197"/>
      <c r="AY143" s="197"/>
      <c r="AZ143" s="197"/>
      <c r="BA143" s="197"/>
      <c r="BB143" s="197"/>
      <c r="BC143" s="197"/>
      <c r="BD143" s="197"/>
      <c r="BE143" s="197"/>
      <c r="BF143" s="197"/>
      <c r="BG143" s="197"/>
      <c r="BH143" s="197"/>
      <c r="BI143" s="197"/>
      <c r="BJ143" s="197"/>
      <c r="BK143" s="197"/>
      <c r="BL143" s="197"/>
      <c r="BM143" s="197"/>
      <c r="BN143" s="197"/>
      <c r="BO143" s="197"/>
      <c r="BP143" s="197"/>
      <c r="BQ143" s="197"/>
      <c r="BR143" s="197"/>
      <c r="BS143" s="197"/>
      <c r="BT143" s="197"/>
      <c r="BU143" s="197"/>
      <c r="BV143" s="197"/>
      <c r="BW143" s="197"/>
    </row>
    <row r="144" spans="1:75" ht="9" hidden="1" customHeight="1" x14ac:dyDescent="0.3">
      <c r="A144" s="24"/>
      <c r="B144" s="250"/>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row>
    <row r="145" spans="1:75" ht="9.15" customHeight="1" x14ac:dyDescent="0.3">
      <c r="A145" s="24"/>
      <c r="B145" s="85"/>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row>
    <row r="146" spans="1:75" ht="15.6" x14ac:dyDescent="0.3">
      <c r="A146" s="4"/>
      <c r="B146" s="264" t="s">
        <v>1531</v>
      </c>
      <c r="C146" s="265"/>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197"/>
      <c r="AU146" s="197"/>
      <c r="AV146" s="197"/>
      <c r="AW146" s="197"/>
      <c r="AX146" s="197"/>
      <c r="AY146" s="197"/>
      <c r="AZ146" s="197"/>
      <c r="BA146" s="197"/>
      <c r="BB146" s="197"/>
      <c r="BC146" s="197"/>
      <c r="BD146" s="197"/>
      <c r="BE146" s="197"/>
      <c r="BF146" s="197"/>
      <c r="BG146" s="197"/>
      <c r="BH146" s="197"/>
      <c r="BI146" s="197"/>
      <c r="BJ146" s="197"/>
      <c r="BK146" s="197"/>
      <c r="BL146" s="197"/>
      <c r="BM146" s="197"/>
      <c r="BN146" s="197"/>
      <c r="BO146" s="197"/>
      <c r="BP146" s="197"/>
      <c r="BQ146" s="197"/>
      <c r="BR146" s="197"/>
      <c r="BS146" s="197"/>
      <c r="BT146" s="197"/>
      <c r="BU146" s="197"/>
      <c r="BV146" s="197"/>
      <c r="BW146" s="197"/>
    </row>
    <row r="147" spans="1:75" s="109" customFormat="1" ht="3.75" customHeight="1" x14ac:dyDescent="0.3">
      <c r="A147" s="5"/>
      <c r="B147" s="5"/>
      <c r="C147" s="108"/>
      <c r="D147" s="111"/>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5"/>
      <c r="AS147" s="5"/>
      <c r="AT147" s="5"/>
      <c r="AU147" s="5"/>
      <c r="AV147" s="5"/>
    </row>
    <row r="148" spans="1:75" s="109" customFormat="1" ht="14.4" customHeight="1" x14ac:dyDescent="0.3">
      <c r="A148" s="110">
        <v>7</v>
      </c>
      <c r="B148" s="113" t="s">
        <v>40</v>
      </c>
      <c r="C148" s="108"/>
      <c r="D148" s="111"/>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5"/>
      <c r="AS148" s="5"/>
      <c r="AT148" s="5"/>
      <c r="AU148" s="5"/>
      <c r="AV148" s="5"/>
    </row>
    <row r="149" spans="1:75" ht="3.75" customHeight="1" x14ac:dyDescent="0.3">
      <c r="A149" s="63"/>
      <c r="B149" s="35"/>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9"/>
      <c r="AS149" s="39"/>
      <c r="AT149" s="39"/>
      <c r="AU149" s="39"/>
      <c r="AV149" s="39"/>
      <c r="AW149" s="39"/>
    </row>
    <row r="150" spans="1:75" ht="14.25" customHeight="1" x14ac:dyDescent="0.3">
      <c r="A150" s="66"/>
      <c r="B150" s="164" t="s">
        <v>66</v>
      </c>
      <c r="C150" s="165"/>
      <c r="D150" s="165"/>
      <c r="E150" s="166"/>
      <c r="F150" s="164" t="s">
        <v>71</v>
      </c>
      <c r="G150" s="165"/>
      <c r="H150" s="165"/>
      <c r="I150" s="166"/>
      <c r="J150" s="164" t="s">
        <v>72</v>
      </c>
      <c r="K150" s="165"/>
      <c r="L150" s="165"/>
      <c r="M150" s="166"/>
      <c r="N150" s="86"/>
      <c r="O150" s="86"/>
      <c r="P150" s="86"/>
      <c r="Q150" s="86"/>
      <c r="R150" s="86"/>
      <c r="S150" s="34"/>
      <c r="T150" s="34"/>
      <c r="U150" s="34"/>
      <c r="V150" s="34"/>
      <c r="W150" s="34"/>
      <c r="X150" s="34"/>
      <c r="Y150" s="34"/>
      <c r="Z150" s="34"/>
      <c r="AA150" s="34"/>
      <c r="AB150" s="34"/>
      <c r="AC150" s="34"/>
      <c r="AD150" s="34"/>
      <c r="AE150" s="39"/>
      <c r="AF150" s="39"/>
      <c r="AG150" s="39"/>
      <c r="AH150" s="39"/>
      <c r="AI150" s="39"/>
      <c r="AJ150" s="39"/>
      <c r="AK150" s="39"/>
      <c r="AL150" s="39"/>
      <c r="AM150" s="39"/>
      <c r="AN150" s="34"/>
      <c r="AO150" s="34"/>
      <c r="AP150" s="34"/>
      <c r="AQ150" s="34"/>
      <c r="AR150" s="39"/>
      <c r="AS150" s="39"/>
      <c r="AT150" s="39"/>
      <c r="AU150" s="39"/>
      <c r="AV150" s="39"/>
      <c r="AW150" s="39"/>
    </row>
    <row r="151" spans="1:75" ht="15" customHeight="1" x14ac:dyDescent="0.3">
      <c r="A151" s="66"/>
      <c r="B151" s="239"/>
      <c r="C151" s="240"/>
      <c r="D151" s="240"/>
      <c r="E151" s="241"/>
      <c r="F151" s="167"/>
      <c r="G151" s="168"/>
      <c r="H151" s="168"/>
      <c r="I151" s="169"/>
      <c r="J151" s="167"/>
      <c r="K151" s="168"/>
      <c r="L151" s="168"/>
      <c r="M151" s="169"/>
      <c r="N151" s="86"/>
      <c r="O151" s="86"/>
      <c r="P151" s="86"/>
      <c r="Q151" s="86"/>
      <c r="R151" s="86"/>
      <c r="S151" s="34"/>
      <c r="T151" s="34"/>
      <c r="U151" s="34"/>
      <c r="V151" s="34"/>
      <c r="W151" s="34"/>
      <c r="X151" s="34"/>
      <c r="Y151" s="34"/>
      <c r="Z151" s="34"/>
      <c r="AA151" s="34"/>
      <c r="AB151" s="34"/>
      <c r="AC151" s="34"/>
      <c r="AD151" s="34"/>
      <c r="AE151" s="39"/>
      <c r="AF151" s="39"/>
      <c r="AG151" s="39"/>
      <c r="AH151" s="39"/>
      <c r="AI151" s="39"/>
      <c r="AJ151" s="39"/>
      <c r="AK151" s="39"/>
      <c r="AL151" s="39"/>
      <c r="AM151" s="39"/>
      <c r="AN151" s="34"/>
      <c r="AO151" s="34"/>
      <c r="AP151" s="34"/>
      <c r="AQ151" s="34"/>
      <c r="AR151" s="39"/>
      <c r="AS151" s="39"/>
      <c r="AT151" s="39"/>
      <c r="AU151" s="39"/>
      <c r="AV151" s="39"/>
      <c r="AW151" s="39"/>
    </row>
    <row r="152" spans="1:75" ht="12.9" customHeight="1" x14ac:dyDescent="0.3">
      <c r="A152" s="66"/>
      <c r="B152" s="150" t="str">
        <f>IF(ISBLANK($Q$29),"",VLOOKUP($Q$29,instellingsgegevens!$A$2:$AX$495,12,FALSE))</f>
        <v/>
      </c>
      <c r="C152" s="151"/>
      <c r="D152" s="151"/>
      <c r="E152" s="151"/>
      <c r="F152" s="154"/>
      <c r="G152" s="155"/>
      <c r="H152" s="155"/>
      <c r="I152" s="156"/>
      <c r="J152" s="157">
        <f>F152*1</f>
        <v>0</v>
      </c>
      <c r="K152" s="158"/>
      <c r="L152" s="158"/>
      <c r="M152" s="159"/>
      <c r="N152" s="114" t="str">
        <f>IF(AND(C58="X",F194=0),"&lt;= Vul vraag "&amp;A148&amp;" in.","")</f>
        <v/>
      </c>
      <c r="P152" s="86"/>
      <c r="Q152" s="86"/>
      <c r="R152" s="86"/>
      <c r="S152" s="34"/>
      <c r="T152" s="34"/>
      <c r="U152" s="34"/>
      <c r="V152" s="34"/>
      <c r="W152" s="34"/>
      <c r="X152" s="34"/>
      <c r="Y152" s="34"/>
      <c r="Z152" s="34"/>
      <c r="AA152" s="34"/>
      <c r="AB152" s="34"/>
      <c r="AC152" s="34"/>
      <c r="AD152" s="34"/>
      <c r="AE152" s="39"/>
      <c r="AF152" s="39"/>
      <c r="AG152" s="39"/>
      <c r="AH152" s="39"/>
      <c r="AI152" s="39"/>
      <c r="AJ152" s="39"/>
      <c r="AK152" s="39"/>
      <c r="AL152" s="39"/>
      <c r="AM152" s="39"/>
      <c r="AN152" s="34"/>
      <c r="AO152" s="34"/>
      <c r="AP152" s="34"/>
      <c r="AQ152" s="34"/>
      <c r="AR152" s="39"/>
      <c r="AS152" s="39"/>
      <c r="AT152" s="39"/>
      <c r="AU152" s="39"/>
      <c r="AV152" s="39"/>
      <c r="AW152" s="39"/>
    </row>
    <row r="153" spans="1:75" ht="12.9" customHeight="1" x14ac:dyDescent="0.3">
      <c r="A153" s="66"/>
      <c r="B153" s="150" t="str">
        <f>IF(ISBLANK($Q$29),"",VLOOKUP($Q$29,instellingsgegevens!$A$2:$AX$495,13,FALSE))</f>
        <v/>
      </c>
      <c r="C153" s="151"/>
      <c r="D153" s="151"/>
      <c r="E153" s="151"/>
      <c r="F153" s="154"/>
      <c r="G153" s="155"/>
      <c r="H153" s="155"/>
      <c r="I153" s="156"/>
      <c r="J153" s="157">
        <f t="shared" ref="J153:J186" si="46">F153*1</f>
        <v>0</v>
      </c>
      <c r="K153" s="158"/>
      <c r="L153" s="158"/>
      <c r="M153" s="159"/>
      <c r="N153" s="86"/>
      <c r="O153" s="86"/>
      <c r="P153" s="86"/>
      <c r="Q153" s="86"/>
      <c r="R153" s="86"/>
      <c r="S153" s="34"/>
      <c r="T153" s="34"/>
      <c r="U153" s="34"/>
      <c r="V153" s="34"/>
      <c r="W153" s="34"/>
      <c r="X153" s="34"/>
      <c r="Y153" s="34"/>
      <c r="Z153" s="34"/>
      <c r="AA153" s="34"/>
      <c r="AB153" s="34"/>
      <c r="AC153" s="34"/>
      <c r="AD153" s="34"/>
      <c r="AE153" s="39"/>
      <c r="AF153" s="39"/>
      <c r="AG153" s="39"/>
      <c r="AH153" s="39"/>
      <c r="AI153" s="39"/>
      <c r="AJ153" s="39"/>
      <c r="AK153" s="39"/>
      <c r="AL153" s="39"/>
      <c r="AM153" s="39"/>
      <c r="AN153" s="34"/>
      <c r="AO153" s="34"/>
      <c r="AP153" s="34"/>
      <c r="AQ153" s="34"/>
      <c r="AR153" s="39"/>
      <c r="AS153" s="39"/>
      <c r="AT153" s="39"/>
      <c r="AU153" s="39"/>
      <c r="AV153" s="39"/>
      <c r="AW153" s="39"/>
    </row>
    <row r="154" spans="1:75" ht="12.9" customHeight="1" x14ac:dyDescent="0.3">
      <c r="A154" s="66"/>
      <c r="B154" s="150" t="str">
        <f>IF(ISBLANK($Q$29),"",VLOOKUP($Q$29,instellingsgegevens!$A$2:$AX$495,14,FALSE))</f>
        <v/>
      </c>
      <c r="C154" s="151"/>
      <c r="D154" s="151"/>
      <c r="E154" s="151"/>
      <c r="F154" s="154"/>
      <c r="G154" s="155"/>
      <c r="H154" s="155"/>
      <c r="I154" s="156"/>
      <c r="J154" s="157">
        <f t="shared" si="46"/>
        <v>0</v>
      </c>
      <c r="K154" s="158"/>
      <c r="L154" s="158"/>
      <c r="M154" s="159"/>
      <c r="N154" s="86"/>
      <c r="O154" s="86"/>
      <c r="P154" s="86"/>
      <c r="Q154" s="86"/>
      <c r="R154" s="86"/>
      <c r="S154" s="34"/>
      <c r="T154" s="34"/>
      <c r="U154" s="34"/>
      <c r="V154" s="34"/>
      <c r="W154" s="34"/>
      <c r="X154" s="34"/>
      <c r="Y154" s="34"/>
      <c r="Z154" s="34"/>
      <c r="AA154" s="34"/>
      <c r="AB154" s="34"/>
      <c r="AC154" s="34"/>
      <c r="AD154" s="34"/>
      <c r="AE154" s="39"/>
      <c r="AF154" s="39"/>
      <c r="AG154" s="39"/>
      <c r="AH154" s="39"/>
      <c r="AI154" s="39"/>
      <c r="AJ154" s="39"/>
      <c r="AK154" s="39"/>
      <c r="AL154" s="39"/>
      <c r="AM154" s="39"/>
      <c r="AN154" s="34"/>
      <c r="AO154" s="34"/>
      <c r="AP154" s="34"/>
      <c r="AQ154" s="34"/>
      <c r="AR154" s="39"/>
      <c r="AS154" s="39"/>
      <c r="AT154" s="39"/>
      <c r="AU154" s="39"/>
      <c r="AV154" s="39"/>
      <c r="AW154" s="39"/>
    </row>
    <row r="155" spans="1:75" ht="12.9" customHeight="1" x14ac:dyDescent="0.3">
      <c r="A155" s="66"/>
      <c r="B155" s="150" t="str">
        <f>IF(ISBLANK($Q$29),"",VLOOKUP($Q$29,instellingsgegevens!$A$2:$AX$495,15,FALSE))</f>
        <v/>
      </c>
      <c r="C155" s="151"/>
      <c r="D155" s="151"/>
      <c r="E155" s="151"/>
      <c r="F155" s="154"/>
      <c r="G155" s="155"/>
      <c r="H155" s="155"/>
      <c r="I155" s="156"/>
      <c r="J155" s="157">
        <f t="shared" si="46"/>
        <v>0</v>
      </c>
      <c r="K155" s="158"/>
      <c r="L155" s="158"/>
      <c r="M155" s="159"/>
      <c r="N155" s="86"/>
      <c r="O155" s="86"/>
      <c r="P155" s="86"/>
      <c r="Q155" s="86"/>
      <c r="R155" s="86"/>
      <c r="S155" s="34"/>
      <c r="T155" s="34"/>
      <c r="U155" s="34"/>
      <c r="V155" s="34"/>
      <c r="W155" s="34"/>
      <c r="X155" s="34"/>
      <c r="Y155" s="34"/>
      <c r="Z155" s="34"/>
      <c r="AA155" s="34"/>
      <c r="AB155" s="34"/>
      <c r="AC155" s="34"/>
      <c r="AD155" s="34"/>
      <c r="AE155" s="39"/>
      <c r="AF155" s="39"/>
      <c r="AG155" s="39"/>
      <c r="AH155" s="39"/>
      <c r="AI155" s="39"/>
      <c r="AJ155" s="39"/>
      <c r="AK155" s="39"/>
      <c r="AL155" s="39"/>
      <c r="AM155" s="39"/>
      <c r="AN155" s="34"/>
      <c r="AO155" s="34"/>
      <c r="AP155" s="34"/>
      <c r="AQ155" s="34"/>
      <c r="AR155" s="39"/>
      <c r="AS155" s="39"/>
      <c r="AT155" s="39"/>
      <c r="AU155" s="39"/>
      <c r="AV155" s="39"/>
      <c r="AW155" s="39"/>
    </row>
    <row r="156" spans="1:75" ht="12.9" customHeight="1" x14ac:dyDescent="0.3">
      <c r="A156" s="66"/>
      <c r="B156" s="150" t="str">
        <f>IF(ISBLANK($Q$29),"",VLOOKUP($Q$29,instellingsgegevens!$A$2:$AX$495,16,FALSE))</f>
        <v/>
      </c>
      <c r="C156" s="151"/>
      <c r="D156" s="151"/>
      <c r="E156" s="151"/>
      <c r="F156" s="154"/>
      <c r="G156" s="155"/>
      <c r="H156" s="155"/>
      <c r="I156" s="156"/>
      <c r="J156" s="157">
        <f t="shared" si="46"/>
        <v>0</v>
      </c>
      <c r="K156" s="158"/>
      <c r="L156" s="158"/>
      <c r="M156" s="159"/>
      <c r="N156" s="86"/>
      <c r="O156" s="86"/>
      <c r="P156" s="86"/>
      <c r="Q156" s="86"/>
      <c r="R156" s="86"/>
      <c r="S156" s="34"/>
      <c r="T156" s="34"/>
      <c r="U156" s="34"/>
      <c r="V156" s="34"/>
      <c r="W156" s="34"/>
      <c r="X156" s="34"/>
      <c r="Y156" s="34"/>
      <c r="Z156" s="34"/>
      <c r="AA156" s="34"/>
      <c r="AB156" s="34"/>
      <c r="AC156" s="34"/>
      <c r="AD156" s="34"/>
      <c r="AE156" s="39"/>
      <c r="AF156" s="39"/>
      <c r="AG156" s="39"/>
      <c r="AH156" s="39"/>
      <c r="AI156" s="39"/>
      <c r="AJ156" s="39"/>
      <c r="AK156" s="39"/>
      <c r="AL156" s="39"/>
      <c r="AM156" s="39"/>
      <c r="AN156" s="34"/>
      <c r="AO156" s="34"/>
      <c r="AP156" s="34"/>
      <c r="AQ156" s="34"/>
      <c r="AR156" s="39"/>
      <c r="AS156" s="39"/>
      <c r="AT156" s="39"/>
      <c r="AU156" s="39"/>
      <c r="AV156" s="39"/>
      <c r="AW156" s="39"/>
    </row>
    <row r="157" spans="1:75" ht="12.9" customHeight="1" x14ac:dyDescent="0.3">
      <c r="A157" s="66"/>
      <c r="B157" s="150" t="str">
        <f>IF(ISBLANK($Q$29),"",VLOOKUP($Q$29,instellingsgegevens!$A$2:$AX$495,17,FALSE))</f>
        <v/>
      </c>
      <c r="C157" s="151"/>
      <c r="D157" s="151"/>
      <c r="E157" s="151"/>
      <c r="F157" s="154"/>
      <c r="G157" s="155"/>
      <c r="H157" s="155"/>
      <c r="I157" s="156"/>
      <c r="J157" s="157">
        <f t="shared" si="46"/>
        <v>0</v>
      </c>
      <c r="K157" s="158"/>
      <c r="L157" s="158"/>
      <c r="M157" s="159"/>
      <c r="N157" s="86"/>
      <c r="O157" s="86"/>
      <c r="P157" s="86"/>
      <c r="Q157" s="86"/>
      <c r="R157" s="86"/>
      <c r="S157" s="34"/>
      <c r="T157" s="34"/>
      <c r="U157" s="34"/>
      <c r="V157" s="34"/>
      <c r="W157" s="34"/>
      <c r="X157" s="34"/>
      <c r="Y157" s="34"/>
      <c r="Z157" s="34"/>
      <c r="AA157" s="34"/>
      <c r="AB157" s="34"/>
      <c r="AC157" s="34"/>
      <c r="AD157" s="34"/>
      <c r="AE157" s="39"/>
      <c r="AF157" s="39"/>
      <c r="AG157" s="39"/>
      <c r="AH157" s="39"/>
      <c r="AI157" s="39"/>
      <c r="AJ157" s="39"/>
      <c r="AK157" s="39"/>
      <c r="AL157" s="39"/>
      <c r="AM157" s="39"/>
      <c r="AN157" s="34"/>
      <c r="AO157" s="34"/>
      <c r="AP157" s="34"/>
      <c r="AQ157" s="34"/>
      <c r="AR157" s="39"/>
      <c r="AS157" s="39"/>
      <c r="AT157" s="39"/>
      <c r="AU157" s="39"/>
      <c r="AV157" s="39"/>
      <c r="AW157" s="39"/>
    </row>
    <row r="158" spans="1:75" ht="12.9" customHeight="1" x14ac:dyDescent="0.3">
      <c r="A158" s="66"/>
      <c r="B158" s="150" t="str">
        <f>IF(ISBLANK($Q$29),"",VLOOKUP($Q$29,instellingsgegevens!$A$2:$AX$495,18,FALSE))</f>
        <v/>
      </c>
      <c r="C158" s="151"/>
      <c r="D158" s="151"/>
      <c r="E158" s="151"/>
      <c r="F158" s="154"/>
      <c r="G158" s="155"/>
      <c r="H158" s="155"/>
      <c r="I158" s="156"/>
      <c r="J158" s="157">
        <f t="shared" si="46"/>
        <v>0</v>
      </c>
      <c r="K158" s="158"/>
      <c r="L158" s="158"/>
      <c r="M158" s="159"/>
      <c r="N158" s="86"/>
      <c r="O158" s="86"/>
      <c r="P158" s="86"/>
      <c r="Q158" s="86"/>
      <c r="R158" s="86"/>
      <c r="S158" s="34"/>
      <c r="T158" s="34"/>
      <c r="U158" s="34"/>
      <c r="V158" s="34"/>
      <c r="W158" s="34"/>
      <c r="X158" s="34"/>
      <c r="Y158" s="34"/>
      <c r="Z158" s="34"/>
      <c r="AA158" s="34"/>
      <c r="AB158" s="34"/>
      <c r="AC158" s="34"/>
      <c r="AD158" s="34"/>
      <c r="AE158" s="39"/>
      <c r="AF158" s="39"/>
      <c r="AG158" s="39"/>
      <c r="AH158" s="39"/>
      <c r="AI158" s="39"/>
      <c r="AJ158" s="39"/>
      <c r="AK158" s="39"/>
      <c r="AL158" s="39"/>
      <c r="AM158" s="39"/>
      <c r="AN158" s="34"/>
      <c r="AO158" s="34"/>
      <c r="AP158" s="34"/>
      <c r="AQ158" s="34"/>
      <c r="AR158" s="39"/>
      <c r="AS158" s="39"/>
      <c r="AT158" s="39"/>
      <c r="AU158" s="39"/>
      <c r="AV158" s="39"/>
      <c r="AW158" s="39"/>
    </row>
    <row r="159" spans="1:75" ht="12.9" customHeight="1" x14ac:dyDescent="0.3">
      <c r="A159" s="66"/>
      <c r="B159" s="150" t="str">
        <f>IF(ISBLANK($Q$29),"",VLOOKUP($Q$29,instellingsgegevens!$A$2:$AX$495,19,FALSE))</f>
        <v/>
      </c>
      <c r="C159" s="151"/>
      <c r="D159" s="151"/>
      <c r="E159" s="151"/>
      <c r="F159" s="154"/>
      <c r="G159" s="155"/>
      <c r="H159" s="155"/>
      <c r="I159" s="156"/>
      <c r="J159" s="157">
        <f t="shared" si="46"/>
        <v>0</v>
      </c>
      <c r="K159" s="158"/>
      <c r="L159" s="158"/>
      <c r="M159" s="159"/>
      <c r="N159" s="86"/>
      <c r="O159" s="86"/>
      <c r="P159" s="86"/>
      <c r="Q159" s="86"/>
      <c r="R159" s="86"/>
      <c r="S159" s="34"/>
      <c r="T159" s="34"/>
      <c r="U159" s="34"/>
      <c r="V159" s="34"/>
      <c r="W159" s="34"/>
      <c r="X159" s="34"/>
      <c r="Y159" s="34"/>
      <c r="Z159" s="34"/>
      <c r="AA159" s="34"/>
      <c r="AB159" s="34"/>
      <c r="AC159" s="34"/>
      <c r="AD159" s="34"/>
      <c r="AE159" s="39"/>
      <c r="AF159" s="39"/>
      <c r="AG159" s="39"/>
      <c r="AH159" s="39"/>
      <c r="AI159" s="39"/>
      <c r="AJ159" s="39"/>
      <c r="AK159" s="39"/>
      <c r="AL159" s="39"/>
      <c r="AM159" s="39"/>
      <c r="AN159" s="34"/>
      <c r="AO159" s="34"/>
      <c r="AP159" s="34"/>
      <c r="AQ159" s="34"/>
      <c r="AR159" s="39"/>
      <c r="AS159" s="39"/>
      <c r="AT159" s="39"/>
      <c r="AU159" s="39"/>
      <c r="AV159" s="39"/>
      <c r="AW159" s="39"/>
    </row>
    <row r="160" spans="1:75" ht="12.9" customHeight="1" x14ac:dyDescent="0.3">
      <c r="A160" s="66"/>
      <c r="B160" s="150" t="str">
        <f>IF(ISBLANK($Q$29),"",VLOOKUP($Q$29,instellingsgegevens!$A$2:$AX$495,20,FALSE))</f>
        <v/>
      </c>
      <c r="C160" s="151"/>
      <c r="D160" s="151"/>
      <c r="E160" s="151"/>
      <c r="F160" s="154"/>
      <c r="G160" s="155"/>
      <c r="H160" s="155"/>
      <c r="I160" s="156"/>
      <c r="J160" s="157">
        <f t="shared" si="46"/>
        <v>0</v>
      </c>
      <c r="K160" s="158"/>
      <c r="L160" s="158"/>
      <c r="M160" s="159"/>
      <c r="N160" s="86"/>
      <c r="O160" s="86"/>
      <c r="P160" s="86"/>
      <c r="Q160" s="86"/>
      <c r="R160" s="86"/>
      <c r="S160" s="34"/>
      <c r="T160" s="34"/>
      <c r="U160" s="34"/>
      <c r="V160" s="34"/>
      <c r="W160" s="34"/>
      <c r="X160" s="34"/>
      <c r="Y160" s="34"/>
      <c r="Z160" s="34"/>
      <c r="AA160" s="34"/>
      <c r="AB160" s="34"/>
      <c r="AC160" s="34"/>
      <c r="AD160" s="34"/>
      <c r="AE160" s="39"/>
      <c r="AF160" s="39"/>
      <c r="AG160" s="39"/>
      <c r="AH160" s="39"/>
      <c r="AI160" s="39"/>
      <c r="AJ160" s="39"/>
      <c r="AK160" s="39"/>
      <c r="AL160" s="39"/>
      <c r="AM160" s="39"/>
      <c r="AN160" s="34"/>
      <c r="AO160" s="34"/>
      <c r="AP160" s="34"/>
      <c r="AQ160" s="34"/>
      <c r="AR160" s="39"/>
      <c r="AS160" s="39"/>
      <c r="AT160" s="39"/>
      <c r="AU160" s="39"/>
      <c r="AV160" s="39"/>
      <c r="AW160" s="39"/>
    </row>
    <row r="161" spans="1:49" ht="12.9" customHeight="1" x14ac:dyDescent="0.3">
      <c r="A161" s="66"/>
      <c r="B161" s="150" t="str">
        <f>IF(ISBLANK($Q$29),"",VLOOKUP($Q$29,instellingsgegevens!$A$2:$AX$495,21,FALSE))</f>
        <v/>
      </c>
      <c r="C161" s="151"/>
      <c r="D161" s="151"/>
      <c r="E161" s="151"/>
      <c r="F161" s="154"/>
      <c r="G161" s="155"/>
      <c r="H161" s="155"/>
      <c r="I161" s="156"/>
      <c r="J161" s="157">
        <f t="shared" si="46"/>
        <v>0</v>
      </c>
      <c r="K161" s="158"/>
      <c r="L161" s="158"/>
      <c r="M161" s="159"/>
      <c r="N161" s="86"/>
      <c r="O161" s="86"/>
      <c r="P161" s="86"/>
      <c r="Q161" s="86"/>
      <c r="R161" s="86"/>
      <c r="S161" s="34"/>
      <c r="T161" s="34"/>
      <c r="U161" s="34"/>
      <c r="V161" s="34"/>
      <c r="W161" s="34"/>
      <c r="X161" s="34"/>
      <c r="Y161" s="34"/>
      <c r="Z161" s="34"/>
      <c r="AA161" s="34"/>
      <c r="AB161" s="34"/>
      <c r="AC161" s="34"/>
      <c r="AD161" s="34"/>
      <c r="AE161" s="39"/>
      <c r="AF161" s="39"/>
      <c r="AG161" s="39"/>
      <c r="AH161" s="39"/>
      <c r="AI161" s="39"/>
      <c r="AJ161" s="39"/>
      <c r="AK161" s="39"/>
      <c r="AL161" s="39"/>
      <c r="AM161" s="39"/>
      <c r="AN161" s="34"/>
      <c r="AO161" s="34"/>
      <c r="AP161" s="34"/>
      <c r="AQ161" s="34"/>
      <c r="AR161" s="39"/>
      <c r="AS161" s="39"/>
      <c r="AT161" s="39"/>
      <c r="AU161" s="39"/>
      <c r="AV161" s="39"/>
      <c r="AW161" s="39"/>
    </row>
    <row r="162" spans="1:49" ht="12.9" customHeight="1" x14ac:dyDescent="0.3">
      <c r="A162" s="66"/>
      <c r="B162" s="150" t="str">
        <f>IF(ISBLANK($Q$29),"",VLOOKUP($Q$29,instellingsgegevens!$A$2:$AX$495,22,FALSE))</f>
        <v/>
      </c>
      <c r="C162" s="151"/>
      <c r="D162" s="151"/>
      <c r="E162" s="151"/>
      <c r="F162" s="154"/>
      <c r="G162" s="155"/>
      <c r="H162" s="155"/>
      <c r="I162" s="156"/>
      <c r="J162" s="157">
        <f t="shared" si="46"/>
        <v>0</v>
      </c>
      <c r="K162" s="158"/>
      <c r="L162" s="158"/>
      <c r="M162" s="159"/>
      <c r="N162" s="86"/>
      <c r="O162" s="86"/>
      <c r="P162" s="86"/>
      <c r="Q162" s="86"/>
      <c r="R162" s="86"/>
      <c r="S162" s="34"/>
      <c r="T162" s="34"/>
      <c r="U162" s="34"/>
      <c r="V162" s="34"/>
      <c r="W162" s="34"/>
      <c r="X162" s="34"/>
      <c r="Y162" s="34"/>
      <c r="Z162" s="34"/>
      <c r="AA162" s="34"/>
      <c r="AB162" s="34"/>
      <c r="AC162" s="34"/>
      <c r="AD162" s="34"/>
      <c r="AE162" s="39"/>
      <c r="AF162" s="39"/>
      <c r="AG162" s="39"/>
      <c r="AH162" s="39"/>
      <c r="AI162" s="39"/>
      <c r="AJ162" s="39"/>
      <c r="AK162" s="39"/>
      <c r="AL162" s="39"/>
      <c r="AM162" s="39"/>
      <c r="AN162" s="34"/>
      <c r="AO162" s="34"/>
      <c r="AP162" s="34"/>
      <c r="AQ162" s="34"/>
      <c r="AR162" s="39"/>
      <c r="AS162" s="39"/>
      <c r="AT162" s="39"/>
      <c r="AU162" s="39"/>
      <c r="AV162" s="39"/>
      <c r="AW162" s="39"/>
    </row>
    <row r="163" spans="1:49" ht="12.9" customHeight="1" x14ac:dyDescent="0.3">
      <c r="A163" s="66"/>
      <c r="B163" s="150" t="str">
        <f>IF(ISBLANK($Q$29),"",VLOOKUP($Q$29,instellingsgegevens!$A$2:$AX$495,23,FALSE))</f>
        <v/>
      </c>
      <c r="C163" s="151"/>
      <c r="D163" s="151"/>
      <c r="E163" s="151"/>
      <c r="F163" s="154"/>
      <c r="G163" s="155"/>
      <c r="H163" s="155"/>
      <c r="I163" s="156"/>
      <c r="J163" s="157">
        <f t="shared" si="46"/>
        <v>0</v>
      </c>
      <c r="K163" s="158"/>
      <c r="L163" s="158"/>
      <c r="M163" s="159"/>
      <c r="N163" s="86"/>
      <c r="O163" s="86"/>
      <c r="P163" s="86"/>
      <c r="Q163" s="86"/>
      <c r="R163" s="86"/>
      <c r="S163" s="34"/>
      <c r="T163" s="34"/>
      <c r="U163" s="34"/>
      <c r="V163" s="34"/>
      <c r="W163" s="34"/>
      <c r="X163" s="34"/>
      <c r="Y163" s="34"/>
      <c r="Z163" s="34"/>
      <c r="AA163" s="34"/>
      <c r="AB163" s="34"/>
      <c r="AC163" s="34"/>
      <c r="AD163" s="34"/>
      <c r="AE163" s="39"/>
      <c r="AF163" s="39"/>
      <c r="AG163" s="39"/>
      <c r="AH163" s="39"/>
      <c r="AI163" s="39"/>
      <c r="AJ163" s="39"/>
      <c r="AK163" s="39"/>
      <c r="AL163" s="39"/>
      <c r="AM163" s="39"/>
      <c r="AN163" s="34"/>
      <c r="AO163" s="34"/>
      <c r="AP163" s="34"/>
      <c r="AQ163" s="34"/>
      <c r="AR163" s="39"/>
      <c r="AS163" s="39"/>
      <c r="AT163" s="39"/>
      <c r="AU163" s="39"/>
      <c r="AV163" s="39"/>
      <c r="AW163" s="39"/>
    </row>
    <row r="164" spans="1:49" ht="12.9" customHeight="1" x14ac:dyDescent="0.3">
      <c r="A164" s="66"/>
      <c r="B164" s="150" t="str">
        <f>IF(ISBLANK($Q$29),"",VLOOKUP($Q$29,instellingsgegevens!$A$2:$AX$495,24,FALSE))</f>
        <v/>
      </c>
      <c r="C164" s="151"/>
      <c r="D164" s="151"/>
      <c r="E164" s="151"/>
      <c r="F164" s="154"/>
      <c r="G164" s="155"/>
      <c r="H164" s="155"/>
      <c r="I164" s="156"/>
      <c r="J164" s="157">
        <f t="shared" si="46"/>
        <v>0</v>
      </c>
      <c r="K164" s="158"/>
      <c r="L164" s="158"/>
      <c r="M164" s="159"/>
      <c r="N164" s="86"/>
      <c r="O164" s="86"/>
      <c r="P164" s="86"/>
      <c r="Q164" s="86"/>
      <c r="R164" s="86"/>
      <c r="S164" s="34"/>
      <c r="T164" s="34"/>
      <c r="U164" s="34"/>
      <c r="V164" s="34"/>
      <c r="W164" s="34"/>
      <c r="X164" s="34"/>
      <c r="Y164" s="34"/>
      <c r="Z164" s="34"/>
      <c r="AA164" s="34"/>
      <c r="AB164" s="34"/>
      <c r="AC164" s="34"/>
      <c r="AD164" s="34"/>
      <c r="AE164" s="39"/>
      <c r="AF164" s="39"/>
      <c r="AG164" s="39"/>
      <c r="AH164" s="39"/>
      <c r="AI164" s="39"/>
      <c r="AJ164" s="39"/>
      <c r="AK164" s="39"/>
      <c r="AL164" s="39"/>
      <c r="AM164" s="39"/>
      <c r="AN164" s="34"/>
      <c r="AO164" s="34"/>
      <c r="AP164" s="34"/>
      <c r="AQ164" s="34"/>
      <c r="AR164" s="39"/>
      <c r="AS164" s="39"/>
      <c r="AT164" s="39"/>
      <c r="AU164" s="39"/>
      <c r="AV164" s="39"/>
      <c r="AW164" s="39"/>
    </row>
    <row r="165" spans="1:49" ht="12.9" customHeight="1" x14ac:dyDescent="0.3">
      <c r="A165" s="66"/>
      <c r="B165" s="150" t="str">
        <f>IF(ISBLANK($Q$29),"",VLOOKUP($Q$29,instellingsgegevens!$A$2:$AX$495,25,FALSE))</f>
        <v/>
      </c>
      <c r="C165" s="151"/>
      <c r="D165" s="151"/>
      <c r="E165" s="151"/>
      <c r="F165" s="154"/>
      <c r="G165" s="155"/>
      <c r="H165" s="155"/>
      <c r="I165" s="156"/>
      <c r="J165" s="157">
        <f t="shared" si="46"/>
        <v>0</v>
      </c>
      <c r="K165" s="158"/>
      <c r="L165" s="158"/>
      <c r="M165" s="159"/>
      <c r="N165" s="86"/>
      <c r="O165" s="86"/>
      <c r="P165" s="86"/>
      <c r="Q165" s="86"/>
      <c r="R165" s="86"/>
      <c r="S165" s="34"/>
      <c r="T165" s="34"/>
      <c r="U165" s="34"/>
      <c r="V165" s="34"/>
      <c r="W165" s="34"/>
      <c r="X165" s="34"/>
      <c r="Y165" s="34"/>
      <c r="Z165" s="34"/>
      <c r="AA165" s="34"/>
      <c r="AB165" s="34"/>
      <c r="AC165" s="34"/>
      <c r="AD165" s="34"/>
      <c r="AE165" s="39"/>
      <c r="AF165" s="39"/>
      <c r="AG165" s="39"/>
      <c r="AH165" s="39"/>
      <c r="AI165" s="39"/>
      <c r="AJ165" s="39"/>
      <c r="AK165" s="39"/>
      <c r="AL165" s="39"/>
      <c r="AM165" s="39"/>
      <c r="AN165" s="34"/>
      <c r="AO165" s="34"/>
      <c r="AP165" s="34"/>
      <c r="AQ165" s="34"/>
      <c r="AR165" s="39"/>
      <c r="AS165" s="39"/>
      <c r="AT165" s="39"/>
      <c r="AU165" s="39"/>
      <c r="AV165" s="39"/>
      <c r="AW165" s="39"/>
    </row>
    <row r="166" spans="1:49" ht="12.9" customHeight="1" x14ac:dyDescent="0.3">
      <c r="A166" s="66"/>
      <c r="B166" s="150" t="str">
        <f>IF(ISBLANK($Q$29),"",VLOOKUP($Q$29,instellingsgegevens!$A$2:$AX$495,26,FALSE))</f>
        <v/>
      </c>
      <c r="C166" s="151"/>
      <c r="D166" s="151"/>
      <c r="E166" s="151"/>
      <c r="F166" s="154"/>
      <c r="G166" s="155"/>
      <c r="H166" s="155"/>
      <c r="I166" s="156"/>
      <c r="J166" s="157">
        <f t="shared" si="46"/>
        <v>0</v>
      </c>
      <c r="K166" s="158"/>
      <c r="L166" s="158"/>
      <c r="M166" s="159"/>
      <c r="N166" s="86"/>
      <c r="O166" s="86"/>
      <c r="P166" s="86"/>
      <c r="Q166" s="86"/>
      <c r="R166" s="86"/>
      <c r="S166" s="34"/>
      <c r="T166" s="34"/>
      <c r="U166" s="34"/>
      <c r="V166" s="34"/>
      <c r="W166" s="34"/>
      <c r="X166" s="34"/>
      <c r="Y166" s="34"/>
      <c r="Z166" s="34"/>
      <c r="AA166" s="34"/>
      <c r="AB166" s="34"/>
      <c r="AC166" s="34"/>
      <c r="AD166" s="34"/>
      <c r="AE166" s="39"/>
      <c r="AF166" s="39"/>
      <c r="AG166" s="39"/>
      <c r="AH166" s="39"/>
      <c r="AI166" s="39"/>
      <c r="AJ166" s="39"/>
      <c r="AK166" s="39"/>
      <c r="AL166" s="39"/>
      <c r="AM166" s="39"/>
      <c r="AN166" s="34"/>
      <c r="AO166" s="34"/>
      <c r="AP166" s="34"/>
      <c r="AQ166" s="34"/>
      <c r="AR166" s="39"/>
      <c r="AS166" s="39"/>
      <c r="AT166" s="39"/>
      <c r="AU166" s="39"/>
      <c r="AV166" s="39"/>
      <c r="AW166" s="39"/>
    </row>
    <row r="167" spans="1:49" ht="12.9" customHeight="1" x14ac:dyDescent="0.3">
      <c r="A167" s="66"/>
      <c r="B167" s="150" t="str">
        <f>IF(ISBLANK($Q$29),"",VLOOKUP($Q$29,instellingsgegevens!$A$2:$AX$495,27,FALSE))</f>
        <v/>
      </c>
      <c r="C167" s="151"/>
      <c r="D167" s="151"/>
      <c r="E167" s="151"/>
      <c r="F167" s="154"/>
      <c r="G167" s="155"/>
      <c r="H167" s="155"/>
      <c r="I167" s="156"/>
      <c r="J167" s="157">
        <f t="shared" si="46"/>
        <v>0</v>
      </c>
      <c r="K167" s="158"/>
      <c r="L167" s="158"/>
      <c r="M167" s="159"/>
      <c r="N167" s="86"/>
      <c r="O167" s="86"/>
      <c r="P167" s="86"/>
      <c r="Q167" s="86"/>
      <c r="R167" s="86"/>
      <c r="S167" s="34"/>
      <c r="T167" s="34"/>
      <c r="U167" s="34"/>
      <c r="V167" s="34"/>
      <c r="W167" s="34"/>
      <c r="X167" s="34"/>
      <c r="Y167" s="34"/>
      <c r="Z167" s="34"/>
      <c r="AA167" s="34"/>
      <c r="AB167" s="34"/>
      <c r="AC167" s="34"/>
      <c r="AD167" s="34"/>
      <c r="AE167" s="39"/>
      <c r="AF167" s="39"/>
      <c r="AG167" s="39"/>
      <c r="AH167" s="39"/>
      <c r="AI167" s="39"/>
      <c r="AJ167" s="39"/>
      <c r="AK167" s="39"/>
      <c r="AL167" s="39"/>
      <c r="AM167" s="39"/>
      <c r="AN167" s="34"/>
      <c r="AO167" s="34"/>
      <c r="AP167" s="34"/>
      <c r="AQ167" s="34"/>
      <c r="AR167" s="39"/>
      <c r="AS167" s="39"/>
      <c r="AT167" s="39"/>
      <c r="AU167" s="39"/>
      <c r="AV167" s="39"/>
      <c r="AW167" s="39"/>
    </row>
    <row r="168" spans="1:49" ht="12.9" customHeight="1" x14ac:dyDescent="0.3">
      <c r="A168" s="66"/>
      <c r="B168" s="150" t="str">
        <f>IF(ISBLANK($Q$29),"",VLOOKUP($Q$29,instellingsgegevens!$A$2:$AX$495,28,FALSE))</f>
        <v/>
      </c>
      <c r="C168" s="151"/>
      <c r="D168" s="151"/>
      <c r="E168" s="151"/>
      <c r="F168" s="154"/>
      <c r="G168" s="155"/>
      <c r="H168" s="155"/>
      <c r="I168" s="156"/>
      <c r="J168" s="157">
        <f t="shared" si="46"/>
        <v>0</v>
      </c>
      <c r="K168" s="158"/>
      <c r="L168" s="158"/>
      <c r="M168" s="159"/>
      <c r="N168" s="86"/>
      <c r="O168" s="86"/>
      <c r="P168" s="86"/>
      <c r="Q168" s="86"/>
      <c r="R168" s="86"/>
      <c r="S168" s="34"/>
      <c r="T168" s="34"/>
      <c r="U168" s="34"/>
      <c r="V168" s="34"/>
      <c r="W168" s="34"/>
      <c r="X168" s="34"/>
      <c r="Y168" s="34"/>
      <c r="Z168" s="34"/>
      <c r="AA168" s="34"/>
      <c r="AB168" s="34"/>
      <c r="AC168" s="34"/>
      <c r="AD168" s="34"/>
      <c r="AE168" s="39"/>
      <c r="AF168" s="39"/>
      <c r="AG168" s="39"/>
      <c r="AH168" s="39"/>
      <c r="AI168" s="39"/>
      <c r="AJ168" s="39"/>
      <c r="AK168" s="39"/>
      <c r="AL168" s="39"/>
      <c r="AM168" s="39"/>
      <c r="AN168" s="34"/>
      <c r="AO168" s="34"/>
      <c r="AP168" s="34"/>
      <c r="AQ168" s="34"/>
      <c r="AR168" s="39"/>
      <c r="AS168" s="39"/>
      <c r="AT168" s="39"/>
      <c r="AU168" s="39"/>
      <c r="AV168" s="39"/>
      <c r="AW168" s="39"/>
    </row>
    <row r="169" spans="1:49" ht="12.9" customHeight="1" x14ac:dyDescent="0.3">
      <c r="A169" s="66"/>
      <c r="B169" s="150" t="str">
        <f>IF(ISBLANK($Q$29),"",VLOOKUP($Q$29,instellingsgegevens!$A$2:$AX$495,29,FALSE))</f>
        <v/>
      </c>
      <c r="C169" s="151"/>
      <c r="D169" s="151"/>
      <c r="E169" s="151"/>
      <c r="F169" s="154"/>
      <c r="G169" s="155"/>
      <c r="H169" s="155"/>
      <c r="I169" s="156"/>
      <c r="J169" s="157">
        <f t="shared" si="46"/>
        <v>0</v>
      </c>
      <c r="K169" s="158"/>
      <c r="L169" s="158"/>
      <c r="M169" s="159"/>
      <c r="N169" s="86"/>
      <c r="O169" s="86"/>
      <c r="P169" s="86"/>
      <c r="Q169" s="86"/>
      <c r="R169" s="86"/>
      <c r="S169" s="34"/>
      <c r="T169" s="34"/>
      <c r="U169" s="34"/>
      <c r="V169" s="34"/>
      <c r="W169" s="34"/>
      <c r="X169" s="34"/>
      <c r="Y169" s="34"/>
      <c r="Z169" s="34"/>
      <c r="AA169" s="34"/>
      <c r="AB169" s="34"/>
      <c r="AC169" s="34"/>
      <c r="AD169" s="34"/>
      <c r="AE169" s="39"/>
      <c r="AF169" s="39"/>
      <c r="AG169" s="39"/>
      <c r="AH169" s="39"/>
      <c r="AI169" s="39"/>
      <c r="AJ169" s="39"/>
      <c r="AK169" s="39"/>
      <c r="AL169" s="39"/>
      <c r="AM169" s="39"/>
      <c r="AN169" s="34"/>
      <c r="AO169" s="34"/>
      <c r="AP169" s="34"/>
      <c r="AQ169" s="34"/>
      <c r="AR169" s="39"/>
      <c r="AS169" s="39"/>
      <c r="AT169" s="39"/>
      <c r="AU169" s="39"/>
      <c r="AV169" s="39"/>
      <c r="AW169" s="39"/>
    </row>
    <row r="170" spans="1:49" ht="12.9" customHeight="1" x14ac:dyDescent="0.3">
      <c r="A170" s="66"/>
      <c r="B170" s="150" t="str">
        <f>IF(ISBLANK($Q$29),"",VLOOKUP($Q$29,instellingsgegevens!$A$2:$AX$495,30,FALSE))</f>
        <v/>
      </c>
      <c r="C170" s="151"/>
      <c r="D170" s="151"/>
      <c r="E170" s="151"/>
      <c r="F170" s="154"/>
      <c r="G170" s="155"/>
      <c r="H170" s="155"/>
      <c r="I170" s="156"/>
      <c r="J170" s="157">
        <f t="shared" si="46"/>
        <v>0</v>
      </c>
      <c r="K170" s="158"/>
      <c r="L170" s="158"/>
      <c r="M170" s="159"/>
      <c r="N170" s="86"/>
      <c r="O170" s="86"/>
      <c r="P170" s="86"/>
      <c r="Q170" s="86"/>
      <c r="R170" s="86"/>
      <c r="S170" s="34"/>
      <c r="T170" s="34"/>
      <c r="U170" s="34"/>
      <c r="V170" s="34"/>
      <c r="W170" s="34"/>
      <c r="X170" s="34"/>
      <c r="Y170" s="34"/>
      <c r="Z170" s="34"/>
      <c r="AA170" s="34"/>
      <c r="AB170" s="34"/>
      <c r="AC170" s="34"/>
      <c r="AD170" s="34"/>
      <c r="AE170" s="39"/>
      <c r="AF170" s="39"/>
      <c r="AG170" s="39"/>
      <c r="AH170" s="39"/>
      <c r="AI170" s="39"/>
      <c r="AJ170" s="39"/>
      <c r="AK170" s="39"/>
      <c r="AL170" s="39"/>
      <c r="AM170" s="39"/>
      <c r="AN170" s="34"/>
      <c r="AO170" s="34"/>
      <c r="AP170" s="34"/>
      <c r="AQ170" s="34"/>
      <c r="AR170" s="39"/>
      <c r="AS170" s="39"/>
      <c r="AT170" s="39"/>
      <c r="AU170" s="39"/>
      <c r="AV170" s="39"/>
      <c r="AW170" s="39"/>
    </row>
    <row r="171" spans="1:49" ht="12.9" customHeight="1" x14ac:dyDescent="0.3">
      <c r="A171" s="66"/>
      <c r="B171" s="150" t="str">
        <f>IF(ISBLANK($Q$29),"",VLOOKUP($Q$29,instellingsgegevens!$A$2:$AX$495,31,FALSE))</f>
        <v/>
      </c>
      <c r="C171" s="151"/>
      <c r="D171" s="151"/>
      <c r="E171" s="151"/>
      <c r="F171" s="154"/>
      <c r="G171" s="155"/>
      <c r="H171" s="155"/>
      <c r="I171" s="156"/>
      <c r="J171" s="157">
        <f t="shared" si="46"/>
        <v>0</v>
      </c>
      <c r="K171" s="158"/>
      <c r="L171" s="158"/>
      <c r="M171" s="159"/>
      <c r="N171" s="86"/>
      <c r="O171" s="86"/>
      <c r="P171" s="86"/>
      <c r="Q171" s="86"/>
      <c r="R171" s="86"/>
      <c r="S171" s="34"/>
      <c r="T171" s="34"/>
      <c r="U171" s="34"/>
      <c r="V171" s="34"/>
      <c r="W171" s="34"/>
      <c r="X171" s="34"/>
      <c r="Y171" s="34"/>
      <c r="Z171" s="34"/>
      <c r="AA171" s="34"/>
      <c r="AB171" s="34"/>
      <c r="AC171" s="34"/>
      <c r="AD171" s="34"/>
      <c r="AE171" s="39"/>
      <c r="AF171" s="39"/>
      <c r="AG171" s="39"/>
      <c r="AH171" s="39"/>
      <c r="AI171" s="39"/>
      <c r="AJ171" s="39"/>
      <c r="AK171" s="39"/>
      <c r="AL171" s="39"/>
      <c r="AM171" s="39"/>
      <c r="AN171" s="34"/>
      <c r="AO171" s="34"/>
      <c r="AP171" s="34"/>
      <c r="AQ171" s="34"/>
      <c r="AR171" s="39"/>
      <c r="AS171" s="39"/>
      <c r="AT171" s="39"/>
      <c r="AU171" s="39"/>
      <c r="AV171" s="39"/>
      <c r="AW171" s="39"/>
    </row>
    <row r="172" spans="1:49" ht="12.9" customHeight="1" x14ac:dyDescent="0.3">
      <c r="A172" s="66"/>
      <c r="B172" s="150" t="str">
        <f>IF(ISBLANK($Q$29),"",VLOOKUP($Q$29,instellingsgegevens!$A$2:$AX$495,32,FALSE))</f>
        <v/>
      </c>
      <c r="C172" s="151"/>
      <c r="D172" s="151"/>
      <c r="E172" s="151"/>
      <c r="F172" s="154"/>
      <c r="G172" s="155"/>
      <c r="H172" s="155"/>
      <c r="I172" s="156"/>
      <c r="J172" s="157">
        <f t="shared" si="46"/>
        <v>0</v>
      </c>
      <c r="K172" s="158"/>
      <c r="L172" s="158"/>
      <c r="M172" s="159"/>
      <c r="N172" s="86"/>
      <c r="O172" s="86"/>
      <c r="P172" s="86"/>
      <c r="Q172" s="86"/>
      <c r="R172" s="86"/>
      <c r="S172" s="34"/>
      <c r="T172" s="34"/>
      <c r="U172" s="34"/>
      <c r="V172" s="34"/>
      <c r="W172" s="34"/>
      <c r="X172" s="34"/>
      <c r="Y172" s="34"/>
      <c r="Z172" s="34"/>
      <c r="AA172" s="34"/>
      <c r="AB172" s="34"/>
      <c r="AC172" s="34"/>
      <c r="AD172" s="34"/>
      <c r="AE172" s="39"/>
      <c r="AF172" s="39"/>
      <c r="AG172" s="39"/>
      <c r="AH172" s="39"/>
      <c r="AI172" s="39"/>
      <c r="AJ172" s="39"/>
      <c r="AK172" s="39"/>
      <c r="AL172" s="39"/>
      <c r="AM172" s="39"/>
      <c r="AN172" s="34"/>
      <c r="AO172" s="34"/>
      <c r="AP172" s="34"/>
      <c r="AQ172" s="34"/>
      <c r="AR172" s="39"/>
      <c r="AS172" s="39"/>
      <c r="AT172" s="39"/>
      <c r="AU172" s="39"/>
      <c r="AV172" s="39"/>
      <c r="AW172" s="39"/>
    </row>
    <row r="173" spans="1:49" ht="12.9" customHeight="1" x14ac:dyDescent="0.3">
      <c r="A173" s="66"/>
      <c r="B173" s="150" t="str">
        <f>IF(ISBLANK($Q$29),"",VLOOKUP($Q$29,instellingsgegevens!$A$2:$AX$495,33,FALSE))</f>
        <v/>
      </c>
      <c r="C173" s="151"/>
      <c r="D173" s="151"/>
      <c r="E173" s="151"/>
      <c r="F173" s="154"/>
      <c r="G173" s="155"/>
      <c r="H173" s="155"/>
      <c r="I173" s="156"/>
      <c r="J173" s="157">
        <f t="shared" si="46"/>
        <v>0</v>
      </c>
      <c r="K173" s="158"/>
      <c r="L173" s="158"/>
      <c r="M173" s="159"/>
      <c r="N173" s="86"/>
      <c r="O173" s="86"/>
      <c r="P173" s="86"/>
      <c r="Q173" s="86"/>
      <c r="R173" s="86"/>
      <c r="S173" s="34"/>
      <c r="T173" s="34"/>
      <c r="U173" s="34"/>
      <c r="V173" s="34"/>
      <c r="W173" s="34"/>
      <c r="X173" s="34"/>
      <c r="Y173" s="34"/>
      <c r="Z173" s="34"/>
      <c r="AA173" s="34"/>
      <c r="AB173" s="34"/>
      <c r="AC173" s="34"/>
      <c r="AD173" s="34"/>
      <c r="AE173" s="39"/>
      <c r="AF173" s="39"/>
      <c r="AG173" s="39"/>
      <c r="AH173" s="39"/>
      <c r="AI173" s="39"/>
      <c r="AJ173" s="39"/>
      <c r="AK173" s="39"/>
      <c r="AL173" s="39"/>
      <c r="AM173" s="39"/>
      <c r="AN173" s="34"/>
      <c r="AO173" s="34"/>
      <c r="AP173" s="34"/>
      <c r="AQ173" s="34"/>
      <c r="AR173" s="39"/>
      <c r="AS173" s="39"/>
      <c r="AT173" s="39"/>
      <c r="AU173" s="39"/>
      <c r="AV173" s="39"/>
      <c r="AW173" s="39"/>
    </row>
    <row r="174" spans="1:49" ht="12.9" customHeight="1" x14ac:dyDescent="0.3">
      <c r="A174" s="66"/>
      <c r="B174" s="150" t="str">
        <f>IF(ISBLANK($Q$29),"",VLOOKUP($Q$29,instellingsgegevens!$A$2:$AX$495,34,FALSE))</f>
        <v/>
      </c>
      <c r="C174" s="151"/>
      <c r="D174" s="151"/>
      <c r="E174" s="151"/>
      <c r="F174" s="154"/>
      <c r="G174" s="155"/>
      <c r="H174" s="155"/>
      <c r="I174" s="156"/>
      <c r="J174" s="157">
        <f t="shared" si="46"/>
        <v>0</v>
      </c>
      <c r="K174" s="158"/>
      <c r="L174" s="158"/>
      <c r="M174" s="159"/>
      <c r="N174" s="86"/>
      <c r="O174" s="86"/>
      <c r="P174" s="86"/>
      <c r="Q174" s="86"/>
      <c r="R174" s="86"/>
      <c r="S174" s="34"/>
      <c r="T174" s="34"/>
      <c r="U174" s="34"/>
      <c r="V174" s="34"/>
      <c r="W174" s="34"/>
      <c r="X174" s="34"/>
      <c r="Y174" s="34"/>
      <c r="Z174" s="34"/>
      <c r="AA174" s="34"/>
      <c r="AB174" s="34"/>
      <c r="AC174" s="34"/>
      <c r="AD174" s="34"/>
      <c r="AE174" s="39"/>
      <c r="AF174" s="39"/>
      <c r="AG174" s="39"/>
      <c r="AH174" s="39"/>
      <c r="AI174" s="39"/>
      <c r="AJ174" s="39"/>
      <c r="AK174" s="39"/>
      <c r="AL174" s="39"/>
      <c r="AM174" s="39"/>
      <c r="AN174" s="34"/>
      <c r="AO174" s="34"/>
      <c r="AP174" s="34"/>
      <c r="AQ174" s="34"/>
      <c r="AR174" s="39"/>
      <c r="AS174" s="39"/>
      <c r="AT174" s="39"/>
      <c r="AU174" s="39"/>
      <c r="AV174" s="39"/>
      <c r="AW174" s="39"/>
    </row>
    <row r="175" spans="1:49" ht="12.9" customHeight="1" x14ac:dyDescent="0.3">
      <c r="A175" s="66"/>
      <c r="B175" s="150" t="str">
        <f>IF(ISBLANK($Q$29),"",VLOOKUP($Q$29,instellingsgegevens!$A$2:$AX$495,35,FALSE))</f>
        <v/>
      </c>
      <c r="C175" s="151"/>
      <c r="D175" s="151"/>
      <c r="E175" s="151"/>
      <c r="F175" s="154"/>
      <c r="G175" s="155"/>
      <c r="H175" s="155"/>
      <c r="I175" s="156"/>
      <c r="J175" s="157">
        <f t="shared" si="46"/>
        <v>0</v>
      </c>
      <c r="K175" s="158"/>
      <c r="L175" s="158"/>
      <c r="M175" s="159"/>
      <c r="N175" s="86"/>
      <c r="O175" s="86"/>
      <c r="P175" s="86"/>
      <c r="Q175" s="86"/>
      <c r="R175" s="86"/>
      <c r="S175" s="34"/>
      <c r="T175" s="34"/>
      <c r="U175" s="34"/>
      <c r="V175" s="34"/>
      <c r="W175" s="34"/>
      <c r="X175" s="34"/>
      <c r="Y175" s="34"/>
      <c r="Z175" s="34"/>
      <c r="AA175" s="34"/>
      <c r="AB175" s="34"/>
      <c r="AC175" s="34"/>
      <c r="AD175" s="34"/>
      <c r="AE175" s="39"/>
      <c r="AF175" s="39"/>
      <c r="AG175" s="39"/>
      <c r="AH175" s="39"/>
      <c r="AI175" s="39"/>
      <c r="AJ175" s="39"/>
      <c r="AK175" s="39"/>
      <c r="AL175" s="39"/>
      <c r="AM175" s="39"/>
      <c r="AN175" s="34"/>
      <c r="AO175" s="34"/>
      <c r="AP175" s="34"/>
      <c r="AQ175" s="34"/>
      <c r="AR175" s="39"/>
      <c r="AS175" s="39"/>
      <c r="AT175" s="39"/>
      <c r="AU175" s="39"/>
      <c r="AV175" s="39"/>
      <c r="AW175" s="39"/>
    </row>
    <row r="176" spans="1:49" ht="12.9" customHeight="1" x14ac:dyDescent="0.3">
      <c r="A176" s="66"/>
      <c r="B176" s="150" t="str">
        <f>IF(ISBLANK($Q$29),"",VLOOKUP($Q$29,instellingsgegevens!$A$2:$AX$495,36,FALSE))</f>
        <v/>
      </c>
      <c r="C176" s="151"/>
      <c r="D176" s="151"/>
      <c r="E176" s="151"/>
      <c r="F176" s="154"/>
      <c r="G176" s="155"/>
      <c r="H176" s="155"/>
      <c r="I176" s="156"/>
      <c r="J176" s="157">
        <f t="shared" si="46"/>
        <v>0</v>
      </c>
      <c r="K176" s="158"/>
      <c r="L176" s="158"/>
      <c r="M176" s="159"/>
      <c r="N176" s="86"/>
      <c r="O176" s="86"/>
      <c r="P176" s="86"/>
      <c r="Q176" s="86"/>
      <c r="R176" s="86"/>
      <c r="S176" s="34"/>
      <c r="T176" s="34"/>
      <c r="U176" s="34"/>
      <c r="V176" s="34"/>
      <c r="W176" s="34"/>
      <c r="X176" s="34"/>
      <c r="Y176" s="34"/>
      <c r="Z176" s="34"/>
      <c r="AA176" s="34"/>
      <c r="AB176" s="34"/>
      <c r="AC176" s="34"/>
      <c r="AD176" s="34"/>
      <c r="AE176" s="39"/>
      <c r="AF176" s="39"/>
      <c r="AG176" s="39"/>
      <c r="AH176" s="39"/>
      <c r="AI176" s="39"/>
      <c r="AJ176" s="39"/>
      <c r="AK176" s="39"/>
      <c r="AL176" s="39"/>
      <c r="AM176" s="39"/>
      <c r="AN176" s="34"/>
      <c r="AO176" s="34"/>
      <c r="AP176" s="34"/>
      <c r="AQ176" s="34"/>
      <c r="AR176" s="39"/>
      <c r="AS176" s="39"/>
      <c r="AT176" s="39"/>
      <c r="AU176" s="39"/>
      <c r="AV176" s="39"/>
      <c r="AW176" s="39"/>
    </row>
    <row r="177" spans="1:49" ht="12.9" customHeight="1" x14ac:dyDescent="0.3">
      <c r="A177" s="66"/>
      <c r="B177" s="150" t="str">
        <f>IF(ISBLANK($Q$29),"",VLOOKUP($Q$29,instellingsgegevens!$A$2:$AX$495,37,FALSE))</f>
        <v/>
      </c>
      <c r="C177" s="151"/>
      <c r="D177" s="151"/>
      <c r="E177" s="151"/>
      <c r="F177" s="154"/>
      <c r="G177" s="155"/>
      <c r="H177" s="155"/>
      <c r="I177" s="156"/>
      <c r="J177" s="157">
        <f t="shared" si="46"/>
        <v>0</v>
      </c>
      <c r="K177" s="158"/>
      <c r="L177" s="158"/>
      <c r="M177" s="159"/>
      <c r="N177" s="86"/>
      <c r="O177" s="86"/>
      <c r="P177" s="86"/>
      <c r="Q177" s="86"/>
      <c r="R177" s="86"/>
      <c r="S177" s="34"/>
      <c r="T177" s="34"/>
      <c r="U177" s="34"/>
      <c r="V177" s="34"/>
      <c r="W177" s="34"/>
      <c r="X177" s="34"/>
      <c r="Y177" s="34"/>
      <c r="Z177" s="34"/>
      <c r="AA177" s="34"/>
      <c r="AB177" s="34"/>
      <c r="AC177" s="34"/>
      <c r="AD177" s="34"/>
      <c r="AE177" s="39"/>
      <c r="AF177" s="39"/>
      <c r="AG177" s="39"/>
      <c r="AH177" s="39"/>
      <c r="AI177" s="39"/>
      <c r="AJ177" s="39"/>
      <c r="AK177" s="39"/>
      <c r="AL177" s="39"/>
      <c r="AM177" s="39"/>
      <c r="AN177" s="34"/>
      <c r="AO177" s="34"/>
      <c r="AP177" s="34"/>
      <c r="AQ177" s="34"/>
      <c r="AR177" s="39"/>
      <c r="AS177" s="39"/>
      <c r="AT177" s="39"/>
      <c r="AU177" s="39"/>
      <c r="AV177" s="39"/>
      <c r="AW177" s="39"/>
    </row>
    <row r="178" spans="1:49" ht="12.9" customHeight="1" x14ac:dyDescent="0.3">
      <c r="A178" s="66"/>
      <c r="B178" s="150" t="str">
        <f>IF(ISBLANK($Q$29),"",VLOOKUP($Q$29,instellingsgegevens!$A$2:$AX$495,38,FALSE))</f>
        <v/>
      </c>
      <c r="C178" s="151"/>
      <c r="D178" s="151"/>
      <c r="E178" s="151"/>
      <c r="F178" s="154"/>
      <c r="G178" s="155"/>
      <c r="H178" s="155"/>
      <c r="I178" s="156"/>
      <c r="J178" s="157">
        <f t="shared" si="46"/>
        <v>0</v>
      </c>
      <c r="K178" s="158"/>
      <c r="L178" s="158"/>
      <c r="M178" s="159"/>
      <c r="N178" s="86"/>
      <c r="O178" s="86"/>
      <c r="P178" s="86"/>
      <c r="Q178" s="86"/>
      <c r="R178" s="86"/>
      <c r="S178" s="34"/>
      <c r="T178" s="34"/>
      <c r="U178" s="34"/>
      <c r="V178" s="34"/>
      <c r="W178" s="34"/>
      <c r="X178" s="34"/>
      <c r="Y178" s="34"/>
      <c r="Z178" s="34"/>
      <c r="AA178" s="34"/>
      <c r="AB178" s="34"/>
      <c r="AC178" s="34"/>
      <c r="AD178" s="34"/>
      <c r="AE178" s="39"/>
      <c r="AF178" s="39"/>
      <c r="AG178" s="39"/>
      <c r="AH178" s="39"/>
      <c r="AI178" s="39"/>
      <c r="AJ178" s="39"/>
      <c r="AK178" s="39"/>
      <c r="AL178" s="39"/>
      <c r="AM178" s="39"/>
      <c r="AN178" s="34"/>
      <c r="AO178" s="34"/>
      <c r="AP178" s="34"/>
      <c r="AQ178" s="34"/>
      <c r="AR178" s="39"/>
      <c r="AS178" s="39"/>
      <c r="AT178" s="39"/>
      <c r="AU178" s="39"/>
      <c r="AV178" s="39"/>
      <c r="AW178" s="39"/>
    </row>
    <row r="179" spans="1:49" ht="12.9" customHeight="1" x14ac:dyDescent="0.3">
      <c r="A179" s="66"/>
      <c r="B179" s="150" t="str">
        <f>IF(ISBLANK($Q$29),"",VLOOKUP($Q$29,instellingsgegevens!$A$2:$AX$495,39,FALSE))</f>
        <v/>
      </c>
      <c r="C179" s="151"/>
      <c r="D179" s="151"/>
      <c r="E179" s="151"/>
      <c r="F179" s="154"/>
      <c r="G179" s="155"/>
      <c r="H179" s="155"/>
      <c r="I179" s="156"/>
      <c r="J179" s="157">
        <f t="shared" si="46"/>
        <v>0</v>
      </c>
      <c r="K179" s="158"/>
      <c r="L179" s="158"/>
      <c r="M179" s="159"/>
      <c r="N179" s="86"/>
      <c r="O179" s="86"/>
      <c r="P179" s="86"/>
      <c r="Q179" s="86"/>
      <c r="R179" s="86"/>
      <c r="S179" s="34"/>
      <c r="T179" s="34"/>
      <c r="U179" s="34"/>
      <c r="V179" s="34"/>
      <c r="W179" s="34"/>
      <c r="X179" s="34"/>
      <c r="Y179" s="34"/>
      <c r="Z179" s="34"/>
      <c r="AA179" s="34"/>
      <c r="AB179" s="34"/>
      <c r="AC179" s="34"/>
      <c r="AD179" s="34"/>
      <c r="AE179" s="39"/>
      <c r="AF179" s="39"/>
      <c r="AG179" s="39"/>
      <c r="AH179" s="39"/>
      <c r="AI179" s="39"/>
      <c r="AJ179" s="39"/>
      <c r="AK179" s="39"/>
      <c r="AL179" s="39"/>
      <c r="AM179" s="39"/>
      <c r="AN179" s="34"/>
      <c r="AO179" s="34"/>
      <c r="AP179" s="34"/>
      <c r="AQ179" s="34"/>
      <c r="AR179" s="39"/>
      <c r="AS179" s="39"/>
      <c r="AT179" s="39"/>
      <c r="AU179" s="39"/>
      <c r="AV179" s="39"/>
      <c r="AW179" s="39"/>
    </row>
    <row r="180" spans="1:49" ht="12.9" customHeight="1" x14ac:dyDescent="0.3">
      <c r="A180" s="66"/>
      <c r="B180" s="150" t="str">
        <f>IF(ISBLANK($Q$29),"",VLOOKUP($Q$29,instellingsgegevens!$A$2:$AX$495,40,FALSE))</f>
        <v/>
      </c>
      <c r="C180" s="151"/>
      <c r="D180" s="151"/>
      <c r="E180" s="151"/>
      <c r="F180" s="154"/>
      <c r="G180" s="155"/>
      <c r="H180" s="155"/>
      <c r="I180" s="156"/>
      <c r="J180" s="157">
        <f t="shared" si="46"/>
        <v>0</v>
      </c>
      <c r="K180" s="158"/>
      <c r="L180" s="158"/>
      <c r="M180" s="159"/>
      <c r="N180" s="86"/>
      <c r="O180" s="86"/>
      <c r="P180" s="86"/>
      <c r="Q180" s="86"/>
      <c r="R180" s="86"/>
      <c r="S180" s="34"/>
      <c r="T180" s="34"/>
      <c r="U180" s="34"/>
      <c r="V180" s="34"/>
      <c r="W180" s="34"/>
      <c r="X180" s="34"/>
      <c r="Y180" s="34"/>
      <c r="Z180" s="34"/>
      <c r="AA180" s="34"/>
      <c r="AB180" s="34"/>
      <c r="AC180" s="34"/>
      <c r="AD180" s="34"/>
      <c r="AE180" s="39"/>
      <c r="AF180" s="39"/>
      <c r="AG180" s="39"/>
      <c r="AH180" s="39"/>
      <c r="AI180" s="39"/>
      <c r="AJ180" s="39"/>
      <c r="AK180" s="39"/>
      <c r="AL180" s="39"/>
      <c r="AM180" s="39"/>
      <c r="AN180" s="34"/>
      <c r="AO180" s="34"/>
      <c r="AP180" s="34"/>
      <c r="AQ180" s="34"/>
      <c r="AR180" s="39"/>
      <c r="AS180" s="39"/>
      <c r="AT180" s="39"/>
      <c r="AU180" s="39"/>
      <c r="AV180" s="39"/>
      <c r="AW180" s="39"/>
    </row>
    <row r="181" spans="1:49" ht="12.9" customHeight="1" x14ac:dyDescent="0.3">
      <c r="A181" s="66"/>
      <c r="B181" s="150" t="str">
        <f>IF(ISBLANK($Q$29),"",VLOOKUP($Q$29,instellingsgegevens!$A$2:$AX$495,41,FALSE))</f>
        <v/>
      </c>
      <c r="C181" s="151"/>
      <c r="D181" s="151"/>
      <c r="E181" s="151"/>
      <c r="F181" s="154"/>
      <c r="G181" s="155"/>
      <c r="H181" s="155"/>
      <c r="I181" s="156"/>
      <c r="J181" s="157">
        <f t="shared" si="46"/>
        <v>0</v>
      </c>
      <c r="K181" s="158"/>
      <c r="L181" s="158"/>
      <c r="M181" s="159"/>
      <c r="N181" s="86"/>
      <c r="O181" s="86"/>
      <c r="P181" s="86"/>
      <c r="Q181" s="86"/>
      <c r="R181" s="86"/>
      <c r="S181" s="34"/>
      <c r="T181" s="34"/>
      <c r="U181" s="34"/>
      <c r="V181" s="34"/>
      <c r="W181" s="34"/>
      <c r="X181" s="34"/>
      <c r="Y181" s="34"/>
      <c r="Z181" s="34"/>
      <c r="AA181" s="34"/>
      <c r="AB181" s="34"/>
      <c r="AC181" s="34"/>
      <c r="AD181" s="34"/>
      <c r="AE181" s="39"/>
      <c r="AF181" s="39"/>
      <c r="AG181" s="39"/>
      <c r="AH181" s="39"/>
      <c r="AI181" s="39"/>
      <c r="AJ181" s="39"/>
      <c r="AK181" s="39"/>
      <c r="AL181" s="39"/>
      <c r="AM181" s="39"/>
      <c r="AN181" s="34"/>
      <c r="AO181" s="34"/>
      <c r="AP181" s="34"/>
      <c r="AQ181" s="34"/>
      <c r="AR181" s="39"/>
      <c r="AS181" s="39"/>
      <c r="AT181" s="39"/>
      <c r="AU181" s="39"/>
      <c r="AV181" s="39"/>
      <c r="AW181" s="39"/>
    </row>
    <row r="182" spans="1:49" ht="12.9" customHeight="1" x14ac:dyDescent="0.3">
      <c r="A182" s="66"/>
      <c r="B182" s="150" t="str">
        <f>IF(ISBLANK($Q$29),"",VLOOKUP($Q$29,instellingsgegevens!$A$2:$AX$495,42,FALSE))</f>
        <v/>
      </c>
      <c r="C182" s="151"/>
      <c r="D182" s="151"/>
      <c r="E182" s="151"/>
      <c r="F182" s="154"/>
      <c r="G182" s="155"/>
      <c r="H182" s="155"/>
      <c r="I182" s="156"/>
      <c r="J182" s="157">
        <f t="shared" si="46"/>
        <v>0</v>
      </c>
      <c r="K182" s="158"/>
      <c r="L182" s="158"/>
      <c r="M182" s="159"/>
      <c r="N182" s="86"/>
      <c r="O182" s="86"/>
      <c r="P182" s="86"/>
      <c r="Q182" s="86"/>
      <c r="R182" s="86"/>
      <c r="S182" s="34"/>
      <c r="T182" s="34"/>
      <c r="U182" s="34"/>
      <c r="V182" s="34"/>
      <c r="W182" s="34"/>
      <c r="X182" s="34"/>
      <c r="Y182" s="34"/>
      <c r="Z182" s="34"/>
      <c r="AA182" s="34"/>
      <c r="AB182" s="34"/>
      <c r="AC182" s="34"/>
      <c r="AD182" s="34"/>
      <c r="AE182" s="39"/>
      <c r="AF182" s="39"/>
      <c r="AG182" s="39"/>
      <c r="AH182" s="39"/>
      <c r="AI182" s="39"/>
      <c r="AJ182" s="39"/>
      <c r="AK182" s="39"/>
      <c r="AL182" s="39"/>
      <c r="AM182" s="39"/>
      <c r="AN182" s="34"/>
      <c r="AO182" s="34"/>
      <c r="AP182" s="34"/>
      <c r="AQ182" s="34"/>
      <c r="AR182" s="39"/>
      <c r="AS182" s="39"/>
      <c r="AT182" s="39"/>
      <c r="AU182" s="39"/>
      <c r="AV182" s="39"/>
      <c r="AW182" s="39"/>
    </row>
    <row r="183" spans="1:49" ht="12.9" customHeight="1" x14ac:dyDescent="0.3">
      <c r="A183" s="66"/>
      <c r="B183" s="150" t="str">
        <f>IF(ISBLANK($Q$29),"",VLOOKUP($Q$29,instellingsgegevens!$A$2:$AX$495,43,FALSE))</f>
        <v/>
      </c>
      <c r="C183" s="151"/>
      <c r="D183" s="151"/>
      <c r="E183" s="151"/>
      <c r="F183" s="154"/>
      <c r="G183" s="155"/>
      <c r="H183" s="155"/>
      <c r="I183" s="156"/>
      <c r="J183" s="157">
        <f t="shared" si="46"/>
        <v>0</v>
      </c>
      <c r="K183" s="158"/>
      <c r="L183" s="158"/>
      <c r="M183" s="159"/>
      <c r="N183" s="86"/>
      <c r="O183" s="86"/>
      <c r="P183" s="86"/>
      <c r="Q183" s="86"/>
      <c r="R183" s="86"/>
      <c r="S183" s="34"/>
      <c r="T183" s="34"/>
      <c r="U183" s="34"/>
      <c r="V183" s="34"/>
      <c r="W183" s="34"/>
      <c r="X183" s="34"/>
      <c r="Y183" s="34"/>
      <c r="Z183" s="34"/>
      <c r="AA183" s="34"/>
      <c r="AB183" s="34"/>
      <c r="AC183" s="34"/>
      <c r="AD183" s="34"/>
      <c r="AE183" s="39"/>
      <c r="AF183" s="39"/>
      <c r="AG183" s="39"/>
      <c r="AH183" s="39"/>
      <c r="AI183" s="39"/>
      <c r="AJ183" s="39"/>
      <c r="AK183" s="39"/>
      <c r="AL183" s="39"/>
      <c r="AM183" s="39"/>
      <c r="AN183" s="34"/>
      <c r="AO183" s="34"/>
      <c r="AP183" s="34"/>
      <c r="AQ183" s="34"/>
      <c r="AR183" s="39"/>
      <c r="AS183" s="39"/>
      <c r="AT183" s="39"/>
      <c r="AU183" s="39"/>
      <c r="AV183" s="39"/>
      <c r="AW183" s="39"/>
    </row>
    <row r="184" spans="1:49" ht="12.9" customHeight="1" x14ac:dyDescent="0.3">
      <c r="A184" s="66"/>
      <c r="B184" s="150" t="str">
        <f>IF(ISBLANK($Q$29),"",VLOOKUP($Q$29,instellingsgegevens!$A$2:$AX$495,44,FALSE))</f>
        <v/>
      </c>
      <c r="C184" s="151"/>
      <c r="D184" s="151"/>
      <c r="E184" s="151"/>
      <c r="F184" s="154"/>
      <c r="G184" s="155"/>
      <c r="H184" s="155"/>
      <c r="I184" s="156"/>
      <c r="J184" s="157">
        <f t="shared" si="46"/>
        <v>0</v>
      </c>
      <c r="K184" s="158"/>
      <c r="L184" s="158"/>
      <c r="M184" s="159"/>
      <c r="N184" s="86"/>
      <c r="O184" s="86"/>
      <c r="P184" s="86"/>
      <c r="Q184" s="86"/>
      <c r="R184" s="86"/>
      <c r="S184" s="34"/>
      <c r="T184" s="34"/>
      <c r="U184" s="34"/>
      <c r="V184" s="34"/>
      <c r="W184" s="34"/>
      <c r="X184" s="34"/>
      <c r="Y184" s="34"/>
      <c r="Z184" s="34"/>
      <c r="AA184" s="34"/>
      <c r="AB184" s="34"/>
      <c r="AC184" s="34"/>
      <c r="AD184" s="34"/>
      <c r="AE184" s="39"/>
      <c r="AF184" s="39"/>
      <c r="AG184" s="39"/>
      <c r="AH184" s="39"/>
      <c r="AI184" s="39"/>
      <c r="AJ184" s="39"/>
      <c r="AK184" s="39"/>
      <c r="AL184" s="39"/>
      <c r="AM184" s="39"/>
      <c r="AN184" s="34"/>
      <c r="AO184" s="34"/>
      <c r="AP184" s="34"/>
      <c r="AQ184" s="34"/>
      <c r="AR184" s="39"/>
      <c r="AS184" s="39"/>
      <c r="AT184" s="39"/>
      <c r="AU184" s="39"/>
      <c r="AV184" s="39"/>
      <c r="AW184" s="39"/>
    </row>
    <row r="185" spans="1:49" ht="12.9" customHeight="1" x14ac:dyDescent="0.3">
      <c r="A185" s="66"/>
      <c r="B185" s="150" t="str">
        <f>IF(ISBLANK($Q$29),"",VLOOKUP($Q$29,instellingsgegevens!$A$2:$AX$495,45,FALSE))</f>
        <v/>
      </c>
      <c r="C185" s="151"/>
      <c r="D185" s="151"/>
      <c r="E185" s="151"/>
      <c r="F185" s="154"/>
      <c r="G185" s="155"/>
      <c r="H185" s="155"/>
      <c r="I185" s="156"/>
      <c r="J185" s="157">
        <f t="shared" si="46"/>
        <v>0</v>
      </c>
      <c r="K185" s="158"/>
      <c r="L185" s="158"/>
      <c r="M185" s="159"/>
      <c r="N185" s="86"/>
      <c r="O185" s="86"/>
      <c r="P185" s="86"/>
      <c r="Q185" s="86"/>
      <c r="R185" s="86"/>
      <c r="S185" s="34"/>
      <c r="T185" s="34"/>
      <c r="U185" s="34"/>
      <c r="V185" s="34"/>
      <c r="W185" s="34"/>
      <c r="X185" s="34"/>
      <c r="Y185" s="34"/>
      <c r="Z185" s="34"/>
      <c r="AA185" s="34"/>
      <c r="AB185" s="34"/>
      <c r="AC185" s="34"/>
      <c r="AD185" s="34"/>
      <c r="AE185" s="39"/>
      <c r="AF185" s="39"/>
      <c r="AG185" s="39"/>
      <c r="AH185" s="39"/>
      <c r="AI185" s="39"/>
      <c r="AJ185" s="39"/>
      <c r="AK185" s="39"/>
      <c r="AL185" s="39"/>
      <c r="AM185" s="39"/>
      <c r="AN185" s="34"/>
      <c r="AO185" s="34"/>
      <c r="AP185" s="34"/>
      <c r="AQ185" s="34"/>
      <c r="AR185" s="39"/>
      <c r="AS185" s="39"/>
      <c r="AT185" s="39"/>
      <c r="AU185" s="39"/>
      <c r="AV185" s="39"/>
      <c r="AW185" s="39"/>
    </row>
    <row r="186" spans="1:49" ht="12.9" customHeight="1" x14ac:dyDescent="0.3">
      <c r="A186" s="66"/>
      <c r="B186" s="150" t="str">
        <f>IF(ISBLANK($Q$29),"",VLOOKUP($Q$29,instellingsgegevens!$A$2:$AX$495,46,FALSE))</f>
        <v/>
      </c>
      <c r="C186" s="151"/>
      <c r="D186" s="151"/>
      <c r="E186" s="151"/>
      <c r="F186" s="154"/>
      <c r="G186" s="155"/>
      <c r="H186" s="155"/>
      <c r="I186" s="156"/>
      <c r="J186" s="157">
        <f t="shared" si="46"/>
        <v>0</v>
      </c>
      <c r="K186" s="158"/>
      <c r="L186" s="158"/>
      <c r="M186" s="159"/>
      <c r="N186" s="86"/>
      <c r="O186" s="86"/>
      <c r="P186" s="86"/>
      <c r="Q186" s="86"/>
      <c r="R186" s="86"/>
      <c r="S186" s="34"/>
      <c r="T186" s="34"/>
      <c r="U186" s="34"/>
      <c r="V186" s="34"/>
      <c r="W186" s="34"/>
      <c r="X186" s="34"/>
      <c r="Y186" s="34"/>
      <c r="Z186" s="34"/>
      <c r="AA186" s="34"/>
      <c r="AB186" s="34"/>
      <c r="AC186" s="34"/>
      <c r="AD186" s="34"/>
      <c r="AE186" s="39"/>
      <c r="AF186" s="39"/>
      <c r="AG186" s="39"/>
      <c r="AH186" s="39"/>
      <c r="AI186" s="39"/>
      <c r="AJ186" s="39"/>
      <c r="AK186" s="39"/>
      <c r="AL186" s="39"/>
      <c r="AM186" s="39"/>
      <c r="AN186" s="34"/>
      <c r="AO186" s="34"/>
      <c r="AP186" s="34"/>
      <c r="AQ186" s="34"/>
      <c r="AR186" s="39"/>
      <c r="AS186" s="39"/>
      <c r="AT186" s="39"/>
      <c r="AU186" s="39"/>
      <c r="AV186" s="39"/>
      <c r="AW186" s="39"/>
    </row>
    <row r="187" spans="1:49" ht="12.9" customHeight="1" x14ac:dyDescent="0.3">
      <c r="A187" s="66"/>
      <c r="B187" s="150" t="str">
        <f>IF(ISBLANK($Q$29),"",VLOOKUP($Q$29,instellingsgegevens!$A$2:$AX$495,47,FALSE))</f>
        <v/>
      </c>
      <c r="C187" s="151"/>
      <c r="D187" s="151"/>
      <c r="E187" s="151"/>
      <c r="F187" s="154"/>
      <c r="G187" s="155"/>
      <c r="H187" s="155"/>
      <c r="I187" s="156"/>
      <c r="J187" s="157">
        <f>F187*1</f>
        <v>0</v>
      </c>
      <c r="K187" s="158"/>
      <c r="L187" s="158"/>
      <c r="M187" s="159"/>
      <c r="N187" s="86"/>
      <c r="O187" s="86"/>
      <c r="P187" s="86"/>
      <c r="Q187" s="86"/>
      <c r="R187" s="86"/>
      <c r="S187" s="34"/>
      <c r="T187" s="34"/>
      <c r="U187" s="34"/>
      <c r="V187" s="34"/>
      <c r="W187" s="34"/>
      <c r="X187" s="34"/>
      <c r="Y187" s="34"/>
      <c r="Z187" s="34"/>
      <c r="AA187" s="34"/>
      <c r="AB187" s="34"/>
      <c r="AC187" s="34"/>
      <c r="AD187" s="34"/>
      <c r="AE187" s="39"/>
      <c r="AF187" s="39"/>
      <c r="AG187" s="39"/>
      <c r="AH187" s="39"/>
      <c r="AI187" s="39"/>
      <c r="AJ187" s="39"/>
      <c r="AK187" s="39"/>
      <c r="AL187" s="39"/>
      <c r="AM187" s="39"/>
      <c r="AN187" s="34"/>
      <c r="AO187" s="34"/>
      <c r="AP187" s="34"/>
      <c r="AQ187" s="34"/>
      <c r="AR187" s="39"/>
      <c r="AS187" s="39"/>
      <c r="AT187" s="39"/>
      <c r="AU187" s="39"/>
      <c r="AV187" s="39"/>
      <c r="AW187" s="39"/>
    </row>
    <row r="188" spans="1:49" ht="12.9" customHeight="1" x14ac:dyDescent="0.3">
      <c r="A188" s="66"/>
      <c r="B188" s="150" t="str">
        <f>IF(ISBLANK($Q$29),"",VLOOKUP($Q$29,instellingsgegevens!$A$2:$AX$495,48,FALSE))</f>
        <v/>
      </c>
      <c r="C188" s="151"/>
      <c r="D188" s="151"/>
      <c r="E188" s="151"/>
      <c r="F188" s="154"/>
      <c r="G188" s="155"/>
      <c r="H188" s="155"/>
      <c r="I188" s="156"/>
      <c r="J188" s="157">
        <f>F188*1</f>
        <v>0</v>
      </c>
      <c r="K188" s="158"/>
      <c r="L188" s="158"/>
      <c r="M188" s="159"/>
      <c r="N188" s="86"/>
      <c r="O188" s="86"/>
      <c r="P188" s="86"/>
      <c r="Q188" s="86"/>
      <c r="R188" s="86"/>
      <c r="S188" s="34"/>
      <c r="T188" s="34"/>
      <c r="U188" s="34"/>
      <c r="V188" s="34"/>
      <c r="W188" s="34"/>
      <c r="X188" s="34"/>
      <c r="Y188" s="34"/>
      <c r="Z188" s="34"/>
      <c r="AA188" s="34"/>
      <c r="AB188" s="34"/>
      <c r="AC188" s="34"/>
      <c r="AD188" s="34"/>
      <c r="AE188" s="39"/>
      <c r="AF188" s="39"/>
      <c r="AG188" s="39"/>
      <c r="AH188" s="39"/>
      <c r="AI188" s="39"/>
      <c r="AJ188" s="39"/>
      <c r="AK188" s="39"/>
      <c r="AL188" s="39"/>
      <c r="AM188" s="39"/>
      <c r="AN188" s="34"/>
      <c r="AO188" s="34"/>
      <c r="AP188" s="34"/>
      <c r="AQ188" s="34"/>
      <c r="AR188" s="39"/>
      <c r="AS188" s="39"/>
      <c r="AT188" s="39"/>
      <c r="AU188" s="39"/>
      <c r="AV188" s="39"/>
      <c r="AW188" s="39"/>
    </row>
    <row r="189" spans="1:49" ht="12.9" customHeight="1" x14ac:dyDescent="0.3">
      <c r="A189" s="66"/>
      <c r="B189" s="150" t="str">
        <f>IF(ISBLANK($Q$29),"",VLOOKUP($Q$29,instellingsgegevens!$A$2:$AX$495,49,FALSE))</f>
        <v/>
      </c>
      <c r="C189" s="151"/>
      <c r="D189" s="151"/>
      <c r="E189" s="151"/>
      <c r="F189" s="154"/>
      <c r="G189" s="155"/>
      <c r="H189" s="155"/>
      <c r="I189" s="156"/>
      <c r="J189" s="157">
        <f>F189*1</f>
        <v>0</v>
      </c>
      <c r="K189" s="158"/>
      <c r="L189" s="158"/>
      <c r="M189" s="159"/>
      <c r="N189" s="86"/>
      <c r="O189" s="86"/>
      <c r="P189" s="86"/>
      <c r="Q189" s="86"/>
      <c r="R189" s="86"/>
      <c r="S189" s="34"/>
      <c r="T189" s="34"/>
      <c r="U189" s="34"/>
      <c r="V189" s="34"/>
      <c r="W189" s="34"/>
      <c r="X189" s="34"/>
      <c r="Y189" s="34"/>
      <c r="Z189" s="34"/>
      <c r="AA189" s="34"/>
      <c r="AB189" s="34"/>
      <c r="AC189" s="34"/>
      <c r="AD189" s="34"/>
      <c r="AE189" s="39"/>
      <c r="AF189" s="39"/>
      <c r="AG189" s="39"/>
      <c r="AH189" s="39"/>
      <c r="AI189" s="39"/>
      <c r="AJ189" s="39"/>
      <c r="AK189" s="39"/>
      <c r="AL189" s="39"/>
      <c r="AM189" s="39"/>
      <c r="AN189" s="34"/>
      <c r="AO189" s="34"/>
      <c r="AP189" s="34"/>
      <c r="AQ189" s="34"/>
      <c r="AR189" s="39"/>
      <c r="AS189" s="39"/>
      <c r="AT189" s="39"/>
      <c r="AU189" s="39"/>
      <c r="AV189" s="39"/>
      <c r="AW189" s="39"/>
    </row>
    <row r="190" spans="1:49" ht="12.9" customHeight="1" x14ac:dyDescent="0.3">
      <c r="A190" s="66"/>
      <c r="B190" s="150" t="str">
        <f>IF(ISBLANK($Q$29),"",VLOOKUP($Q$29,instellingsgegevens!$A$2:$AZ$495,50,FALSE))</f>
        <v/>
      </c>
      <c r="C190" s="151"/>
      <c r="D190" s="151"/>
      <c r="E190" s="151"/>
      <c r="F190" s="154"/>
      <c r="G190" s="155"/>
      <c r="H190" s="155"/>
      <c r="I190" s="156"/>
      <c r="J190" s="157">
        <f>F190*1</f>
        <v>0</v>
      </c>
      <c r="K190" s="158"/>
      <c r="L190" s="158"/>
      <c r="M190" s="159"/>
      <c r="N190" s="86"/>
      <c r="O190" s="86"/>
      <c r="P190" s="86"/>
      <c r="Q190" s="86"/>
      <c r="R190" s="86"/>
      <c r="S190" s="34"/>
      <c r="T190" s="34"/>
      <c r="U190" s="34"/>
      <c r="V190" s="34"/>
      <c r="W190" s="34"/>
      <c r="X190" s="34"/>
      <c r="Y190" s="34"/>
      <c r="Z190" s="34"/>
      <c r="AA190" s="34"/>
      <c r="AB190" s="34"/>
      <c r="AC190" s="34"/>
      <c r="AD190" s="34"/>
      <c r="AE190" s="39"/>
      <c r="AF190" s="39"/>
      <c r="AG190" s="39"/>
      <c r="AH190" s="39"/>
      <c r="AI190" s="39"/>
      <c r="AJ190" s="39"/>
      <c r="AK190" s="39"/>
      <c r="AL190" s="39"/>
      <c r="AM190" s="39"/>
      <c r="AN190" s="34"/>
      <c r="AO190" s="34"/>
      <c r="AP190" s="34"/>
      <c r="AQ190" s="34"/>
      <c r="AR190" s="39"/>
      <c r="AS190" s="39"/>
      <c r="AT190" s="39"/>
      <c r="AU190" s="39"/>
      <c r="AV190" s="39"/>
      <c r="AW190" s="39"/>
    </row>
    <row r="191" spans="1:49" ht="12.9" customHeight="1" x14ac:dyDescent="0.3">
      <c r="A191" s="66"/>
      <c r="B191" s="150" t="str">
        <f>IF(ISBLANK($Q$29),"",VLOOKUP($Q$29,instellingsgegevens!$A$2:$AZ$495,51,FALSE))</f>
        <v/>
      </c>
      <c r="C191" s="151"/>
      <c r="D191" s="151"/>
      <c r="E191" s="151"/>
      <c r="F191" s="154"/>
      <c r="G191" s="155"/>
      <c r="H191" s="155"/>
      <c r="I191" s="156"/>
      <c r="J191" s="157">
        <f t="shared" ref="J191:J192" si="47">F191*1</f>
        <v>0</v>
      </c>
      <c r="K191" s="158"/>
      <c r="L191" s="158"/>
      <c r="M191" s="159"/>
      <c r="N191" s="86"/>
      <c r="O191" s="86"/>
      <c r="P191" s="86"/>
      <c r="Q191" s="86"/>
      <c r="R191" s="86"/>
      <c r="S191" s="34"/>
      <c r="T191" s="34"/>
      <c r="U191" s="34"/>
      <c r="V191" s="34"/>
      <c r="W191" s="34"/>
      <c r="X191" s="34"/>
      <c r="Y191" s="34"/>
      <c r="Z191" s="34"/>
      <c r="AA191" s="34"/>
      <c r="AB191" s="34"/>
      <c r="AC191" s="34"/>
      <c r="AD191" s="34"/>
      <c r="AE191" s="39"/>
      <c r="AF191" s="39"/>
      <c r="AG191" s="39"/>
      <c r="AH191" s="39"/>
      <c r="AI191" s="39"/>
      <c r="AJ191" s="39"/>
      <c r="AK191" s="39"/>
      <c r="AL191" s="39"/>
      <c r="AM191" s="39"/>
      <c r="AN191" s="34"/>
      <c r="AO191" s="34"/>
      <c r="AP191" s="34"/>
      <c r="AQ191" s="34"/>
      <c r="AR191" s="39"/>
      <c r="AS191" s="39"/>
      <c r="AT191" s="39"/>
      <c r="AU191" s="39"/>
      <c r="AV191" s="39"/>
      <c r="AW191" s="39"/>
    </row>
    <row r="192" spans="1:49" ht="12.9" customHeight="1" x14ac:dyDescent="0.3">
      <c r="A192" s="66"/>
      <c r="B192" s="150" t="str">
        <f>IF(ISBLANK($Q$29),"",VLOOKUP($Q$29,instellingsgegevens!$A$2:$AZ$495,52,FALSE))</f>
        <v/>
      </c>
      <c r="C192" s="151"/>
      <c r="D192" s="151"/>
      <c r="E192" s="151"/>
      <c r="F192" s="154"/>
      <c r="G192" s="155"/>
      <c r="H192" s="155"/>
      <c r="I192" s="156"/>
      <c r="J192" s="157">
        <f t="shared" si="47"/>
        <v>0</v>
      </c>
      <c r="K192" s="158"/>
      <c r="L192" s="158"/>
      <c r="M192" s="159"/>
      <c r="N192" s="86"/>
      <c r="O192" s="86"/>
      <c r="P192" s="86"/>
      <c r="Q192" s="86"/>
      <c r="R192" s="86"/>
      <c r="S192" s="34"/>
      <c r="T192" s="34"/>
      <c r="U192" s="34"/>
      <c r="V192" s="34"/>
      <c r="W192" s="34"/>
      <c r="X192" s="34"/>
      <c r="Y192" s="34"/>
      <c r="Z192" s="34"/>
      <c r="AA192" s="34"/>
      <c r="AB192" s="34"/>
      <c r="AC192" s="34"/>
      <c r="AD192" s="34"/>
      <c r="AE192" s="39"/>
      <c r="AF192" s="39"/>
      <c r="AG192" s="39"/>
      <c r="AH192" s="39"/>
      <c r="AI192" s="39"/>
      <c r="AJ192" s="39"/>
      <c r="AK192" s="39"/>
      <c r="AL192" s="39"/>
      <c r="AM192" s="39"/>
      <c r="AN192" s="34"/>
      <c r="AO192" s="34"/>
      <c r="AP192" s="34"/>
      <c r="AQ192" s="34"/>
      <c r="AR192" s="39"/>
      <c r="AS192" s="39"/>
      <c r="AT192" s="39"/>
      <c r="AU192" s="39"/>
      <c r="AV192" s="39"/>
      <c r="AW192" s="39"/>
    </row>
    <row r="193" spans="1:75" ht="12.9" customHeight="1" x14ac:dyDescent="0.3">
      <c r="A193" s="66"/>
      <c r="B193" s="150"/>
      <c r="C193" s="151"/>
      <c r="D193" s="151"/>
      <c r="E193" s="151"/>
      <c r="F193" s="154"/>
      <c r="G193" s="155"/>
      <c r="H193" s="155"/>
      <c r="I193" s="156"/>
      <c r="J193" s="157">
        <f>F193*1</f>
        <v>0</v>
      </c>
      <c r="K193" s="158"/>
      <c r="L193" s="158"/>
      <c r="M193" s="159"/>
      <c r="N193" s="86"/>
      <c r="O193" s="86"/>
      <c r="P193" s="86"/>
      <c r="Q193" s="86"/>
      <c r="R193" s="86"/>
      <c r="S193" s="34"/>
      <c r="T193" s="34"/>
      <c r="U193" s="34"/>
      <c r="V193" s="34"/>
      <c r="W193" s="34"/>
      <c r="X193" s="34"/>
      <c r="Y193" s="34"/>
      <c r="Z193" s="34"/>
      <c r="AA193" s="34"/>
      <c r="AB193" s="34"/>
      <c r="AC193" s="34"/>
      <c r="AD193" s="34"/>
      <c r="AE193" s="39"/>
      <c r="AF193" s="39"/>
      <c r="AG193" s="39"/>
      <c r="AH193" s="39"/>
      <c r="AI193" s="39"/>
      <c r="AJ193" s="39"/>
      <c r="AK193" s="39"/>
      <c r="AL193" s="39"/>
      <c r="AM193" s="39"/>
      <c r="AN193" s="34"/>
      <c r="AO193" s="34"/>
      <c r="AP193" s="34"/>
      <c r="AQ193" s="34"/>
      <c r="AR193" s="39"/>
      <c r="AS193" s="39"/>
      <c r="AT193" s="39"/>
      <c r="AU193" s="39"/>
      <c r="AV193" s="39"/>
      <c r="AW193" s="39"/>
    </row>
    <row r="194" spans="1:75" ht="12.9" customHeight="1" x14ac:dyDescent="0.3">
      <c r="A194" s="66"/>
      <c r="B194" s="261" t="s">
        <v>69</v>
      </c>
      <c r="C194" s="262"/>
      <c r="D194" s="262"/>
      <c r="E194" s="263"/>
      <c r="F194" s="252">
        <f>SUM(F152:I193)</f>
        <v>0</v>
      </c>
      <c r="G194" s="253"/>
      <c r="H194" s="253"/>
      <c r="I194" s="254"/>
      <c r="J194" s="252">
        <f>SUM(J152:M193)</f>
        <v>0</v>
      </c>
      <c r="K194" s="253"/>
      <c r="L194" s="253"/>
      <c r="M194" s="254"/>
      <c r="N194" s="86"/>
      <c r="O194" s="86"/>
      <c r="P194" s="86"/>
      <c r="Q194" s="86"/>
      <c r="R194" s="86"/>
      <c r="S194" s="34"/>
      <c r="T194" s="34"/>
      <c r="U194" s="34"/>
      <c r="V194" s="34"/>
      <c r="W194" s="34"/>
      <c r="X194" s="34"/>
      <c r="Y194" s="34"/>
      <c r="Z194" s="34"/>
      <c r="AA194" s="34"/>
      <c r="AB194" s="34"/>
      <c r="AC194" s="34"/>
      <c r="AD194" s="34"/>
      <c r="AE194" s="39"/>
      <c r="AF194" s="39"/>
      <c r="AG194" s="39"/>
      <c r="AH194" s="39"/>
      <c r="AI194" s="39"/>
      <c r="AJ194" s="39"/>
      <c r="AK194" s="39"/>
      <c r="AL194" s="39"/>
      <c r="AM194" s="39"/>
      <c r="AN194" s="34"/>
      <c r="AO194" s="34"/>
      <c r="AP194" s="34"/>
      <c r="AQ194" s="34"/>
      <c r="AR194" s="39"/>
      <c r="AS194" s="39"/>
      <c r="AT194" s="39"/>
      <c r="AU194" s="39"/>
      <c r="AV194" s="39"/>
      <c r="AW194" s="39"/>
    </row>
    <row r="195" spans="1:75" ht="9.15" customHeight="1" x14ac:dyDescent="0.3">
      <c r="A195" s="66"/>
      <c r="B195" s="86"/>
      <c r="C195" s="86"/>
      <c r="D195" s="86"/>
      <c r="E195" s="86"/>
      <c r="F195" s="86"/>
      <c r="G195" s="86"/>
      <c r="H195" s="86"/>
      <c r="I195" s="86"/>
      <c r="J195" s="86"/>
      <c r="K195" s="86"/>
      <c r="L195" s="86"/>
      <c r="M195" s="86"/>
      <c r="N195" s="86"/>
      <c r="O195" s="86"/>
      <c r="P195" s="86"/>
      <c r="Q195" s="86"/>
      <c r="R195" s="86"/>
      <c r="S195" s="34"/>
      <c r="T195" s="34"/>
      <c r="U195" s="34"/>
      <c r="V195" s="34"/>
      <c r="W195" s="34"/>
      <c r="X195" s="34"/>
      <c r="Y195" s="34"/>
      <c r="Z195" s="34"/>
      <c r="AA195" s="34"/>
      <c r="AB195" s="34"/>
      <c r="AC195" s="34"/>
      <c r="AD195" s="34"/>
      <c r="AE195" s="39"/>
      <c r="AF195" s="39"/>
      <c r="AG195" s="39"/>
      <c r="AH195" s="39"/>
      <c r="AI195" s="39"/>
      <c r="AJ195" s="39"/>
      <c r="AK195" s="39"/>
      <c r="AL195" s="39"/>
      <c r="AM195" s="39"/>
      <c r="AN195" s="34"/>
      <c r="AO195" s="34"/>
      <c r="AP195" s="34"/>
      <c r="AQ195" s="34"/>
      <c r="AR195" s="39"/>
      <c r="AS195" s="39"/>
      <c r="AT195" s="39"/>
      <c r="AU195" s="39"/>
      <c r="AV195" s="39"/>
      <c r="AW195" s="39"/>
    </row>
    <row r="196" spans="1:75" ht="15.6" x14ac:dyDescent="0.3">
      <c r="A196" s="4"/>
      <c r="B196" s="264" t="s">
        <v>411</v>
      </c>
      <c r="C196" s="265"/>
      <c r="D196" s="265"/>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c r="AR196" s="265"/>
      <c r="AS196" s="265"/>
      <c r="AT196" s="197"/>
      <c r="AU196" s="197"/>
      <c r="AV196" s="197"/>
      <c r="AW196" s="197"/>
      <c r="AX196" s="197"/>
      <c r="AY196" s="197"/>
      <c r="AZ196" s="197"/>
      <c r="BA196" s="197"/>
      <c r="BB196" s="197"/>
      <c r="BC196" s="197"/>
      <c r="BD196" s="197"/>
      <c r="BE196" s="197"/>
      <c r="BF196" s="197"/>
      <c r="BG196" s="197"/>
      <c r="BH196" s="197"/>
      <c r="BI196" s="197"/>
      <c r="BJ196" s="197"/>
      <c r="BK196" s="197"/>
      <c r="BL196" s="197"/>
      <c r="BM196" s="197"/>
      <c r="BN196" s="197"/>
      <c r="BO196" s="197"/>
      <c r="BP196" s="197"/>
      <c r="BQ196" s="197"/>
      <c r="BR196" s="197"/>
      <c r="BS196" s="197"/>
      <c r="BT196" s="197"/>
      <c r="BU196" s="197"/>
      <c r="BV196" s="197"/>
      <c r="BW196" s="197"/>
    </row>
    <row r="197" spans="1:75" ht="3.75" customHeight="1" x14ac:dyDescent="0.3">
      <c r="A197" s="4"/>
    </row>
    <row r="198" spans="1:75" s="8" customFormat="1" x14ac:dyDescent="0.3">
      <c r="A198" s="87">
        <v>8</v>
      </c>
      <c r="B198" s="104" t="s">
        <v>412</v>
      </c>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88"/>
      <c r="AE198" s="88"/>
      <c r="AF198" s="88"/>
      <c r="AG198" s="88"/>
      <c r="AH198" s="88"/>
      <c r="AI198" s="88"/>
      <c r="AJ198" s="88"/>
      <c r="AK198" s="88"/>
      <c r="AL198" s="88"/>
      <c r="AM198" s="88"/>
      <c r="AN198" s="88"/>
      <c r="AO198" s="88"/>
      <c r="AP198" s="88"/>
      <c r="AQ198" s="88"/>
      <c r="AR198" s="89"/>
      <c r="AS198" s="89"/>
      <c r="AT198" s="88"/>
      <c r="AU198" s="88"/>
      <c r="AV198" s="88"/>
      <c r="AW198" s="88"/>
    </row>
    <row r="199" spans="1:75" s="37" customFormat="1" ht="13.8" x14ac:dyDescent="0.3">
      <c r="A199" s="50"/>
      <c r="B199" s="135" t="s">
        <v>1534</v>
      </c>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32"/>
      <c r="AU199" s="132"/>
      <c r="AV199" s="132"/>
      <c r="AW199" s="133"/>
    </row>
    <row r="200" spans="1:75" ht="6.75" customHeight="1" x14ac:dyDescent="0.3">
      <c r="A200" s="34"/>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row>
    <row r="201" spans="1:75" ht="15" customHeight="1" x14ac:dyDescent="0.3">
      <c r="A201" s="34"/>
      <c r="B201" s="192" t="str">
        <f>IF(OR(Q48&lt;&gt;"",AI51&lt;&gt;"",H66&lt;&gt;"",AI54&lt;&gt;"",H72&lt;&gt;"",AJ56&lt;&gt;"",AJ58&lt;&gt;"",S63&lt;&gt;"",P70&lt;&gt;"",BC81&lt;&gt;""),"Niet alle gegevens bij vraag "&amp;A48&amp;", "&amp;A63&amp;" of "&amp;A70&amp;" zijn (correct) ingevuld!","")</f>
        <v/>
      </c>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4"/>
      <c r="AT201" s="39"/>
      <c r="AU201" s="39"/>
      <c r="AV201" s="39"/>
      <c r="AW201" s="39"/>
    </row>
    <row r="202" spans="1:75" ht="15" customHeight="1" x14ac:dyDescent="0.3">
      <c r="A202" s="34"/>
      <c r="B202" s="189" t="str">
        <f>IF(B131="","","Uw instelling voldoet niet aan de voorwaarden om een aanvraag in te dienen! Zie de foutmelding bij vraag "&amp;A77&amp;".")</f>
        <v/>
      </c>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1"/>
      <c r="AT202" s="39"/>
      <c r="AU202" s="39"/>
      <c r="AV202" s="39"/>
      <c r="AW202" s="39"/>
    </row>
    <row r="203" spans="1:75" ht="15" customHeight="1" x14ac:dyDescent="0.3">
      <c r="A203" s="34"/>
      <c r="B203" s="189" t="str">
        <f>IF(OR((B132&lt;&gt;""),(B133&lt;&gt;""),(B134&lt;&gt;""),(B135&lt;&gt;""),(B136&lt;&gt;""),(B137&lt;&gt;"")),"Er zijn nog foutmeldingen bij vraag "&amp;A77&amp;".","")</f>
        <v/>
      </c>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6"/>
      <c r="AT203" s="39"/>
      <c r="AU203" s="39"/>
      <c r="AV203" s="39"/>
      <c r="AW203" s="39"/>
    </row>
    <row r="204" spans="1:75" ht="15" customHeight="1" x14ac:dyDescent="0.3">
      <c r="A204" s="34"/>
      <c r="B204" s="189" t="str">
        <f>IF(AND(H142="",B143=""),"","Zie foutmelding bij vraag "&amp;A140&amp;"!")</f>
        <v/>
      </c>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1"/>
      <c r="AT204" s="39"/>
      <c r="AU204" s="39"/>
      <c r="AV204" s="39"/>
      <c r="AW204" s="39"/>
    </row>
    <row r="205" spans="1:75" ht="15" customHeight="1" x14ac:dyDescent="0.3">
      <c r="A205" s="34"/>
      <c r="B205" s="184" t="str">
        <f>IF(N152="","","U hebt vraag "&amp;A148&amp;" niet niet beantwoord!")</f>
        <v/>
      </c>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6"/>
      <c r="AT205" s="39"/>
      <c r="AU205" s="39"/>
      <c r="AV205" s="39"/>
      <c r="AW205" s="39"/>
    </row>
    <row r="206" spans="1:75" ht="11.25" customHeight="1" x14ac:dyDescent="0.3">
      <c r="A206" s="34"/>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row>
    <row r="207" spans="1:75" ht="15.6" x14ac:dyDescent="0.3">
      <c r="A207" s="4"/>
      <c r="B207" s="264" t="s">
        <v>252</v>
      </c>
      <c r="C207" s="265"/>
      <c r="D207" s="265"/>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197"/>
      <c r="AU207" s="197"/>
      <c r="AV207" s="197"/>
      <c r="AW207" s="197"/>
      <c r="AX207" s="197"/>
      <c r="AY207" s="197"/>
      <c r="AZ207" s="197"/>
      <c r="BA207" s="197"/>
      <c r="BB207" s="197"/>
      <c r="BC207" s="197"/>
      <c r="BD207" s="197"/>
      <c r="BE207" s="197"/>
      <c r="BF207" s="197"/>
      <c r="BG207" s="197"/>
      <c r="BH207" s="197"/>
      <c r="BI207" s="197"/>
      <c r="BJ207" s="197"/>
      <c r="BK207" s="197"/>
      <c r="BL207" s="197"/>
      <c r="BM207" s="197"/>
      <c r="BN207" s="197"/>
      <c r="BO207" s="197"/>
      <c r="BP207" s="197"/>
      <c r="BQ207" s="197"/>
      <c r="BR207" s="197"/>
      <c r="BS207" s="197"/>
      <c r="BT207" s="197"/>
      <c r="BU207" s="197"/>
      <c r="BV207" s="197"/>
      <c r="BW207" s="197"/>
    </row>
    <row r="208" spans="1:75" s="13" customFormat="1" ht="3.75" customHeight="1" x14ac:dyDescent="0.3">
      <c r="A208" s="1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T208" s="5"/>
      <c r="AU208" s="5"/>
      <c r="AV208" s="5"/>
      <c r="AW208" s="5"/>
      <c r="AX208" s="5"/>
      <c r="AY208" s="5"/>
      <c r="AZ208" s="5"/>
      <c r="BA208" s="5"/>
      <c r="BB208" s="5"/>
      <c r="BC208" s="5"/>
      <c r="BD208" s="5"/>
      <c r="BE208" s="5"/>
      <c r="BF208" s="5"/>
      <c r="BG208" s="5"/>
      <c r="BH208" s="5"/>
      <c r="BI208" s="5"/>
      <c r="BJ208" s="5"/>
      <c r="BK208" s="5"/>
      <c r="BL208" s="5"/>
      <c r="BM208" s="5"/>
    </row>
    <row r="209" spans="1:75" s="38" customFormat="1" ht="41.4" customHeight="1" x14ac:dyDescent="0.25">
      <c r="A209" s="90">
        <v>9</v>
      </c>
      <c r="B209" s="273" t="s">
        <v>1648</v>
      </c>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c r="AH209" s="280"/>
      <c r="AI209" s="280"/>
      <c r="AJ209" s="280"/>
      <c r="AK209" s="280"/>
      <c r="AL209" s="280"/>
      <c r="AM209" s="280"/>
      <c r="AN209" s="280"/>
      <c r="AO209" s="280"/>
      <c r="AP209" s="280"/>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row>
    <row r="210" spans="1:75" s="38" customFormat="1" ht="13.8" customHeight="1" x14ac:dyDescent="0.3">
      <c r="A210" s="90"/>
      <c r="B210" s="274" t="s">
        <v>1649</v>
      </c>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275"/>
      <c r="AN210" s="275"/>
      <c r="AO210" s="275"/>
      <c r="AP210" s="275"/>
      <c r="AQ210" s="275"/>
      <c r="AR210" s="275"/>
      <c r="AS210" s="275"/>
      <c r="AT210" s="275"/>
      <c r="AU210" s="275"/>
      <c r="AV210" s="275"/>
      <c r="AW210" s="275"/>
      <c r="AX210" s="275"/>
      <c r="AY210" s="275"/>
      <c r="AZ210" s="275"/>
      <c r="BA210" s="275"/>
      <c r="BB210" s="275"/>
      <c r="BC210" s="275"/>
      <c r="BD210" s="275"/>
      <c r="BE210" s="275"/>
      <c r="BF210" s="275"/>
      <c r="BG210" s="275"/>
      <c r="BH210" s="275"/>
      <c r="BI210" s="275"/>
      <c r="BJ210" s="275"/>
      <c r="BK210" s="275"/>
      <c r="BL210" s="275"/>
      <c r="BM210" s="275"/>
      <c r="BN210" s="275"/>
      <c r="BO210" s="275"/>
      <c r="BP210" s="275"/>
      <c r="BQ210" s="275"/>
      <c r="BR210" s="275"/>
      <c r="BS210" s="275"/>
      <c r="BT210" s="275"/>
      <c r="BU210" s="275"/>
      <c r="BV210" s="275"/>
      <c r="BW210" s="275"/>
    </row>
    <row r="211" spans="1:75" s="38" customFormat="1" ht="13.8" customHeight="1" x14ac:dyDescent="0.3">
      <c r="A211" s="90"/>
      <c r="B211" s="274" t="str">
        <f>"Selecteer het "&amp;Blad2!A23&amp;". Standaard staat dit op het lopende schooljaar. Wijzig het schooljaar als dat nodig is."</f>
        <v>Selecteer het schooljaar 2023-2024. Standaard staat dit op het lopende schooljaar. Wijzig het schooljaar als dat nodig is.</v>
      </c>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row>
    <row r="212" spans="1:75" s="38" customFormat="1" ht="14.4" customHeight="1" x14ac:dyDescent="0.3">
      <c r="A212" s="90"/>
      <c r="B212" s="101" t="s">
        <v>1533</v>
      </c>
      <c r="C212" s="5"/>
      <c r="D212" s="39"/>
      <c r="E212" s="70"/>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22"/>
      <c r="AR212" s="122"/>
      <c r="AS212" s="122"/>
      <c r="AT212" s="88"/>
      <c r="AU212" s="88"/>
      <c r="AV212" s="88"/>
      <c r="AW212" s="88"/>
    </row>
    <row r="213" spans="1:75" x14ac:dyDescent="0.3">
      <c r="B213" s="147" t="s">
        <v>1616</v>
      </c>
    </row>
    <row r="214" spans="1:75" x14ac:dyDescent="0.3">
      <c r="B214" s="147" t="s">
        <v>1650</v>
      </c>
    </row>
  </sheetData>
  <sheetProtection algorithmName="SHA-512" hashValue="BA2dn3BOqoTAc/3F7ZKliAw93m91tLtXW5B3Ei8TXvjN16KtkpifpZql7MhtYn3ZF6KhS/c15KtsexGSkpeWOg==" saltValue="1lXY8zB1V/dZU0edgYTULg==" spinCount="100000" sheet="1" objects="1" scenarios="1"/>
  <mergeCells count="1506">
    <mergeCell ref="B81:BB81"/>
    <mergeCell ref="B210:BW210"/>
    <mergeCell ref="B211:BW211"/>
    <mergeCell ref="AD6:BW11"/>
    <mergeCell ref="B133:BW133"/>
    <mergeCell ref="B134:BW134"/>
    <mergeCell ref="B135:BW135"/>
    <mergeCell ref="B136:BW136"/>
    <mergeCell ref="B209:BW209"/>
    <mergeCell ref="B15:BW15"/>
    <mergeCell ref="B19:BW19"/>
    <mergeCell ref="B23:BW23"/>
    <mergeCell ref="B25:BW25"/>
    <mergeCell ref="B138:BW138"/>
    <mergeCell ref="B146:BW146"/>
    <mergeCell ref="B196:BW196"/>
    <mergeCell ref="B207:BW207"/>
    <mergeCell ref="B131:BW131"/>
    <mergeCell ref="B132:BW132"/>
    <mergeCell ref="BS125:BT125"/>
    <mergeCell ref="BU125:BV125"/>
    <mergeCell ref="BS126:BT126"/>
    <mergeCell ref="BU126:BV126"/>
    <mergeCell ref="BS127:BT127"/>
    <mergeCell ref="BU127:BV127"/>
    <mergeCell ref="BS128:BT128"/>
    <mergeCell ref="BU128:BV128"/>
    <mergeCell ref="BS129:BT129"/>
    <mergeCell ref="BU129:BV129"/>
    <mergeCell ref="BS120:BT120"/>
    <mergeCell ref="BU120:BV120"/>
    <mergeCell ref="BS121:BT121"/>
    <mergeCell ref="BU121:BV121"/>
    <mergeCell ref="BS122:BT122"/>
    <mergeCell ref="BU122:BV122"/>
    <mergeCell ref="BS123:BT123"/>
    <mergeCell ref="BU123:BV123"/>
    <mergeCell ref="BS124:BT124"/>
    <mergeCell ref="BU124:BV124"/>
    <mergeCell ref="BS115:BT115"/>
    <mergeCell ref="BU115:BV115"/>
    <mergeCell ref="BS116:BT116"/>
    <mergeCell ref="BU116:BV116"/>
    <mergeCell ref="BS117:BT117"/>
    <mergeCell ref="BU117:BV117"/>
    <mergeCell ref="BS118:BT118"/>
    <mergeCell ref="BU118:BV118"/>
    <mergeCell ref="BS119:BT119"/>
    <mergeCell ref="BU119:BV119"/>
    <mergeCell ref="BS110:BT110"/>
    <mergeCell ref="BU110:BV110"/>
    <mergeCell ref="BS111:BT111"/>
    <mergeCell ref="BU111:BV111"/>
    <mergeCell ref="BS112:BT112"/>
    <mergeCell ref="BU112:BV112"/>
    <mergeCell ref="BS113:BT113"/>
    <mergeCell ref="BU113:BV113"/>
    <mergeCell ref="BS114:BT114"/>
    <mergeCell ref="BU114:BV114"/>
    <mergeCell ref="BS105:BT105"/>
    <mergeCell ref="BU105:BV105"/>
    <mergeCell ref="BS106:BT106"/>
    <mergeCell ref="BU106:BV106"/>
    <mergeCell ref="BS107:BT107"/>
    <mergeCell ref="BU107:BV107"/>
    <mergeCell ref="BS108:BT108"/>
    <mergeCell ref="BU108:BV108"/>
    <mergeCell ref="BS109:BT109"/>
    <mergeCell ref="BU109:BV109"/>
    <mergeCell ref="BS100:BT100"/>
    <mergeCell ref="BU100:BV100"/>
    <mergeCell ref="BS101:BT101"/>
    <mergeCell ref="BU101:BV101"/>
    <mergeCell ref="BS102:BT102"/>
    <mergeCell ref="BU102:BV102"/>
    <mergeCell ref="BS103:BT103"/>
    <mergeCell ref="BU103:BV103"/>
    <mergeCell ref="BS104:BT104"/>
    <mergeCell ref="BU104:BV104"/>
    <mergeCell ref="BS95:BT95"/>
    <mergeCell ref="BU95:BV95"/>
    <mergeCell ref="BS96:BT96"/>
    <mergeCell ref="BU96:BV96"/>
    <mergeCell ref="BS97:BT97"/>
    <mergeCell ref="BU97:BV97"/>
    <mergeCell ref="BS98:BT98"/>
    <mergeCell ref="BU98:BV98"/>
    <mergeCell ref="BS99:BT99"/>
    <mergeCell ref="BU99:BV99"/>
    <mergeCell ref="BS90:BT90"/>
    <mergeCell ref="BU90:BV90"/>
    <mergeCell ref="BS91:BT91"/>
    <mergeCell ref="BU91:BV91"/>
    <mergeCell ref="BS92:BT92"/>
    <mergeCell ref="BU92:BV92"/>
    <mergeCell ref="BS93:BT93"/>
    <mergeCell ref="BU93:BV93"/>
    <mergeCell ref="BS94:BT94"/>
    <mergeCell ref="BU94:BV94"/>
    <mergeCell ref="BS85:BV85"/>
    <mergeCell ref="BW85:BW86"/>
    <mergeCell ref="BS86:BT86"/>
    <mergeCell ref="BU86:BV86"/>
    <mergeCell ref="BS87:BT87"/>
    <mergeCell ref="BU87:BV87"/>
    <mergeCell ref="BS88:BT88"/>
    <mergeCell ref="BU88:BV88"/>
    <mergeCell ref="BS89:BT89"/>
    <mergeCell ref="BU89:BV89"/>
    <mergeCell ref="BN125:BO125"/>
    <mergeCell ref="BP125:BQ125"/>
    <mergeCell ref="BN126:BO126"/>
    <mergeCell ref="BP126:BQ126"/>
    <mergeCell ref="BN127:BO127"/>
    <mergeCell ref="BP127:BQ127"/>
    <mergeCell ref="BN128:BO128"/>
    <mergeCell ref="BP128:BQ128"/>
    <mergeCell ref="BN110:BO110"/>
    <mergeCell ref="BP110:BQ110"/>
    <mergeCell ref="BN111:BO111"/>
    <mergeCell ref="BP111:BQ111"/>
    <mergeCell ref="BN112:BO112"/>
    <mergeCell ref="BP112:BQ112"/>
    <mergeCell ref="BN113:BO113"/>
    <mergeCell ref="BP113:BQ113"/>
    <mergeCell ref="BN114:BO114"/>
    <mergeCell ref="BP114:BQ114"/>
    <mergeCell ref="BN105:BO105"/>
    <mergeCell ref="BP105:BQ105"/>
    <mergeCell ref="BN106:BO106"/>
    <mergeCell ref="BP106:BQ106"/>
    <mergeCell ref="BN129:BO129"/>
    <mergeCell ref="BP129:BQ129"/>
    <mergeCell ref="BN120:BO120"/>
    <mergeCell ref="BP120:BQ120"/>
    <mergeCell ref="BN121:BO121"/>
    <mergeCell ref="BP121:BQ121"/>
    <mergeCell ref="BN122:BO122"/>
    <mergeCell ref="BP122:BQ122"/>
    <mergeCell ref="BN123:BO123"/>
    <mergeCell ref="BP123:BQ123"/>
    <mergeCell ref="BN124:BO124"/>
    <mergeCell ref="BP124:BQ124"/>
    <mergeCell ref="BN115:BO115"/>
    <mergeCell ref="BP115:BQ115"/>
    <mergeCell ref="BN116:BO116"/>
    <mergeCell ref="BP116:BQ116"/>
    <mergeCell ref="BN117:BO117"/>
    <mergeCell ref="BP117:BQ117"/>
    <mergeCell ref="BN118:BO118"/>
    <mergeCell ref="BP118:BQ118"/>
    <mergeCell ref="BN119:BO119"/>
    <mergeCell ref="BP119:BQ119"/>
    <mergeCell ref="BN107:BO107"/>
    <mergeCell ref="BP107:BQ107"/>
    <mergeCell ref="BN108:BO108"/>
    <mergeCell ref="BP108:BQ108"/>
    <mergeCell ref="BN109:BO109"/>
    <mergeCell ref="BP109:BQ109"/>
    <mergeCell ref="BN100:BO100"/>
    <mergeCell ref="BP100:BQ100"/>
    <mergeCell ref="BN101:BO101"/>
    <mergeCell ref="BP101:BQ101"/>
    <mergeCell ref="BN102:BO102"/>
    <mergeCell ref="BP102:BQ102"/>
    <mergeCell ref="BN103:BO103"/>
    <mergeCell ref="BP103:BQ103"/>
    <mergeCell ref="BN104:BO104"/>
    <mergeCell ref="BP104:BQ104"/>
    <mergeCell ref="BP95:BQ95"/>
    <mergeCell ref="BN96:BO96"/>
    <mergeCell ref="BP96:BQ96"/>
    <mergeCell ref="BN97:BO97"/>
    <mergeCell ref="BP97:BQ97"/>
    <mergeCell ref="BN98:BO98"/>
    <mergeCell ref="BP98:BQ98"/>
    <mergeCell ref="BN99:BO99"/>
    <mergeCell ref="BP99:BQ99"/>
    <mergeCell ref="BN90:BO90"/>
    <mergeCell ref="BP90:BQ90"/>
    <mergeCell ref="BN91:BO91"/>
    <mergeCell ref="BP91:BQ91"/>
    <mergeCell ref="BN92:BO92"/>
    <mergeCell ref="BP92:BQ92"/>
    <mergeCell ref="BN93:BO93"/>
    <mergeCell ref="BP93:BQ93"/>
    <mergeCell ref="BN94:BO94"/>
    <mergeCell ref="BP94:BQ94"/>
    <mergeCell ref="BN85:BQ85"/>
    <mergeCell ref="BR85:BR86"/>
    <mergeCell ref="BN86:BO86"/>
    <mergeCell ref="BP86:BQ86"/>
    <mergeCell ref="BN87:BO87"/>
    <mergeCell ref="BP87:BQ87"/>
    <mergeCell ref="BN88:BO88"/>
    <mergeCell ref="BP88:BQ88"/>
    <mergeCell ref="BN89:BO89"/>
    <mergeCell ref="BP89:BQ89"/>
    <mergeCell ref="BI129:BJ129"/>
    <mergeCell ref="BK129:BL129"/>
    <mergeCell ref="B75:BW75"/>
    <mergeCell ref="B78:BW78"/>
    <mergeCell ref="B80:BW80"/>
    <mergeCell ref="B68:BW68"/>
    <mergeCell ref="BK117:BL117"/>
    <mergeCell ref="BI118:BJ118"/>
    <mergeCell ref="BK118:BL118"/>
    <mergeCell ref="BI109:BJ109"/>
    <mergeCell ref="BK109:BL109"/>
    <mergeCell ref="BI110:BJ110"/>
    <mergeCell ref="BK110:BL110"/>
    <mergeCell ref="BI111:BJ111"/>
    <mergeCell ref="BK111:BL111"/>
    <mergeCell ref="BI112:BJ112"/>
    <mergeCell ref="BK112:BL112"/>
    <mergeCell ref="BI113:BJ113"/>
    <mergeCell ref="BK113:BL113"/>
    <mergeCell ref="BI104:BJ104"/>
    <mergeCell ref="BK104:BL104"/>
    <mergeCell ref="BN95:BO95"/>
    <mergeCell ref="BI105:BJ105"/>
    <mergeCell ref="BK105:BL105"/>
    <mergeCell ref="BI106:BJ106"/>
    <mergeCell ref="BK106:BL106"/>
    <mergeCell ref="BI107:BJ107"/>
    <mergeCell ref="BK107:BL107"/>
    <mergeCell ref="BI108:BJ108"/>
    <mergeCell ref="BK108:BL108"/>
    <mergeCell ref="BI99:BJ99"/>
    <mergeCell ref="BK99:BL99"/>
    <mergeCell ref="B46:BW46"/>
    <mergeCell ref="B61:BW61"/>
    <mergeCell ref="B3:BW3"/>
    <mergeCell ref="B4:BW4"/>
    <mergeCell ref="B5:BW5"/>
    <mergeCell ref="BI124:BJ124"/>
    <mergeCell ref="BK124:BL124"/>
    <mergeCell ref="BI125:BJ125"/>
    <mergeCell ref="BK125:BL125"/>
    <mergeCell ref="BI126:BJ126"/>
    <mergeCell ref="BK126:BL126"/>
    <mergeCell ref="BI127:BJ127"/>
    <mergeCell ref="BK127:BL127"/>
    <mergeCell ref="BI128:BJ128"/>
    <mergeCell ref="BK128:BL128"/>
    <mergeCell ref="BI119:BJ119"/>
    <mergeCell ref="BK119:BL119"/>
    <mergeCell ref="BI120:BJ120"/>
    <mergeCell ref="BK120:BL120"/>
    <mergeCell ref="BI121:BJ121"/>
    <mergeCell ref="BK121:BL121"/>
    <mergeCell ref="BI122:BJ122"/>
    <mergeCell ref="BK122:BL122"/>
    <mergeCell ref="BI123:BJ123"/>
    <mergeCell ref="BK123:BL123"/>
    <mergeCell ref="BI114:BJ114"/>
    <mergeCell ref="BK114:BL114"/>
    <mergeCell ref="BI115:BJ115"/>
    <mergeCell ref="BK115:BL115"/>
    <mergeCell ref="BI116:BJ116"/>
    <mergeCell ref="BK116:BL116"/>
    <mergeCell ref="BI117:BJ117"/>
    <mergeCell ref="BI100:BJ100"/>
    <mergeCell ref="BK100:BL100"/>
    <mergeCell ref="BI101:BJ101"/>
    <mergeCell ref="BK101:BL101"/>
    <mergeCell ref="BI102:BJ102"/>
    <mergeCell ref="BK102:BL102"/>
    <mergeCell ref="BI103:BJ103"/>
    <mergeCell ref="BK103:BL103"/>
    <mergeCell ref="BI94:BJ94"/>
    <mergeCell ref="BK94:BL94"/>
    <mergeCell ref="BI95:BJ95"/>
    <mergeCell ref="BK95:BL95"/>
    <mergeCell ref="BI96:BJ96"/>
    <mergeCell ref="BK96:BL96"/>
    <mergeCell ref="BI97:BJ97"/>
    <mergeCell ref="BK97:BL97"/>
    <mergeCell ref="BI98:BJ98"/>
    <mergeCell ref="BK98:BL98"/>
    <mergeCell ref="AT129:AU129"/>
    <mergeCell ref="AV129:AW129"/>
    <mergeCell ref="AY129:AZ129"/>
    <mergeCell ref="BA129:BB129"/>
    <mergeCell ref="BD129:BE129"/>
    <mergeCell ref="BF129:BG129"/>
    <mergeCell ref="BI85:BL85"/>
    <mergeCell ref="AT127:AU127"/>
    <mergeCell ref="AV127:AW127"/>
    <mergeCell ref="AY127:AZ127"/>
    <mergeCell ref="BA127:BB127"/>
    <mergeCell ref="BD127:BE127"/>
    <mergeCell ref="BF127:BG127"/>
    <mergeCell ref="AT128:AU128"/>
    <mergeCell ref="AV128:AW128"/>
    <mergeCell ref="AY128:AZ128"/>
    <mergeCell ref="BA128:BB128"/>
    <mergeCell ref="BD128:BE128"/>
    <mergeCell ref="BF128:BG128"/>
    <mergeCell ref="AT125:AU125"/>
    <mergeCell ref="AV125:AW125"/>
    <mergeCell ref="AY125:AZ125"/>
    <mergeCell ref="BA125:BB125"/>
    <mergeCell ref="BD125:BE125"/>
    <mergeCell ref="BF125:BG125"/>
    <mergeCell ref="AT126:AU126"/>
    <mergeCell ref="AV126:AW126"/>
    <mergeCell ref="AY126:AZ126"/>
    <mergeCell ref="BA126:BB126"/>
    <mergeCell ref="BD126:BE126"/>
    <mergeCell ref="BF126:BG126"/>
    <mergeCell ref="AT123:AU123"/>
    <mergeCell ref="BM85:BM86"/>
    <mergeCell ref="BI86:BJ86"/>
    <mergeCell ref="BK86:BL86"/>
    <mergeCell ref="BI87:BJ87"/>
    <mergeCell ref="BK87:BL87"/>
    <mergeCell ref="BI88:BJ88"/>
    <mergeCell ref="BK88:BL88"/>
    <mergeCell ref="BI89:BJ89"/>
    <mergeCell ref="BK89:BL89"/>
    <mergeCell ref="BI90:BJ90"/>
    <mergeCell ref="BK90:BL90"/>
    <mergeCell ref="BI91:BJ91"/>
    <mergeCell ref="BK91:BL91"/>
    <mergeCell ref="BI92:BJ92"/>
    <mergeCell ref="BK92:BL92"/>
    <mergeCell ref="BI93:BJ93"/>
    <mergeCell ref="BK93:BL93"/>
    <mergeCell ref="AV123:AW123"/>
    <mergeCell ref="AY123:AZ123"/>
    <mergeCell ref="BA123:BB123"/>
    <mergeCell ref="BD123:BE123"/>
    <mergeCell ref="BF123:BG123"/>
    <mergeCell ref="AT124:AU124"/>
    <mergeCell ref="AV124:AW124"/>
    <mergeCell ref="AY124:AZ124"/>
    <mergeCell ref="BA124:BB124"/>
    <mergeCell ref="BD124:BE124"/>
    <mergeCell ref="BF124:BG124"/>
    <mergeCell ref="AT121:AU121"/>
    <mergeCell ref="AV121:AW121"/>
    <mergeCell ref="AY121:AZ121"/>
    <mergeCell ref="BA121:BB121"/>
    <mergeCell ref="BD121:BE121"/>
    <mergeCell ref="BF121:BG121"/>
    <mergeCell ref="AT122:AU122"/>
    <mergeCell ref="AV122:AW122"/>
    <mergeCell ref="AY122:AZ122"/>
    <mergeCell ref="BA122:BB122"/>
    <mergeCell ref="BD122:BE122"/>
    <mergeCell ref="BF122:BG122"/>
    <mergeCell ref="AT119:AU119"/>
    <mergeCell ref="AV119:AW119"/>
    <mergeCell ref="AY119:AZ119"/>
    <mergeCell ref="BA119:BB119"/>
    <mergeCell ref="BD119:BE119"/>
    <mergeCell ref="BF119:BG119"/>
    <mergeCell ref="AT120:AU120"/>
    <mergeCell ref="AV120:AW120"/>
    <mergeCell ref="AY120:AZ120"/>
    <mergeCell ref="BA120:BB120"/>
    <mergeCell ref="BD120:BE120"/>
    <mergeCell ref="BF120:BG120"/>
    <mergeCell ref="AT117:AU117"/>
    <mergeCell ref="AV117:AW117"/>
    <mergeCell ref="AY117:AZ117"/>
    <mergeCell ref="BA117:BB117"/>
    <mergeCell ref="BD117:BE117"/>
    <mergeCell ref="BF117:BG117"/>
    <mergeCell ref="AT118:AU118"/>
    <mergeCell ref="AV118:AW118"/>
    <mergeCell ref="AY118:AZ118"/>
    <mergeCell ref="BA118:BB118"/>
    <mergeCell ref="BD118:BE118"/>
    <mergeCell ref="BF118:BG118"/>
    <mergeCell ref="AT115:AU115"/>
    <mergeCell ref="AV115:AW115"/>
    <mergeCell ref="AY115:AZ115"/>
    <mergeCell ref="BA115:BB115"/>
    <mergeCell ref="BD115:BE115"/>
    <mergeCell ref="BF115:BG115"/>
    <mergeCell ref="AT116:AU116"/>
    <mergeCell ref="AV116:AW116"/>
    <mergeCell ref="AY116:AZ116"/>
    <mergeCell ref="BA116:BB116"/>
    <mergeCell ref="BD116:BE116"/>
    <mergeCell ref="BF116:BG116"/>
    <mergeCell ref="AT113:AU113"/>
    <mergeCell ref="AV113:AW113"/>
    <mergeCell ref="AY113:AZ113"/>
    <mergeCell ref="BA113:BB113"/>
    <mergeCell ref="BD113:BE113"/>
    <mergeCell ref="BF113:BG113"/>
    <mergeCell ref="AT114:AU114"/>
    <mergeCell ref="AV114:AW114"/>
    <mergeCell ref="AY114:AZ114"/>
    <mergeCell ref="BA114:BB114"/>
    <mergeCell ref="BD114:BE114"/>
    <mergeCell ref="BF114:BG114"/>
    <mergeCell ref="AT111:AU111"/>
    <mergeCell ref="AV111:AW111"/>
    <mergeCell ref="AY111:AZ111"/>
    <mergeCell ref="BA111:BB111"/>
    <mergeCell ref="BD111:BE111"/>
    <mergeCell ref="BF111:BG111"/>
    <mergeCell ref="AT112:AU112"/>
    <mergeCell ref="AV112:AW112"/>
    <mergeCell ref="AY112:AZ112"/>
    <mergeCell ref="BA112:BB112"/>
    <mergeCell ref="BD112:BE112"/>
    <mergeCell ref="BF112:BG112"/>
    <mergeCell ref="AT109:AU109"/>
    <mergeCell ref="AV109:AW109"/>
    <mergeCell ref="AY109:AZ109"/>
    <mergeCell ref="BA109:BB109"/>
    <mergeCell ref="BD109:BE109"/>
    <mergeCell ref="BF109:BG109"/>
    <mergeCell ref="AT110:AU110"/>
    <mergeCell ref="AV110:AW110"/>
    <mergeCell ref="AY110:AZ110"/>
    <mergeCell ref="BA110:BB110"/>
    <mergeCell ref="BD110:BE110"/>
    <mergeCell ref="BF110:BG110"/>
    <mergeCell ref="AT107:AU107"/>
    <mergeCell ref="AV107:AW107"/>
    <mergeCell ref="AY107:AZ107"/>
    <mergeCell ref="BA107:BB107"/>
    <mergeCell ref="BD107:BE107"/>
    <mergeCell ref="BF107:BG107"/>
    <mergeCell ref="AT108:AU108"/>
    <mergeCell ref="AV108:AW108"/>
    <mergeCell ref="AY108:AZ108"/>
    <mergeCell ref="BA108:BB108"/>
    <mergeCell ref="BD108:BE108"/>
    <mergeCell ref="BF108:BG108"/>
    <mergeCell ref="AT105:AU105"/>
    <mergeCell ref="AV105:AW105"/>
    <mergeCell ref="AY105:AZ105"/>
    <mergeCell ref="BA105:BB105"/>
    <mergeCell ref="BD105:BE105"/>
    <mergeCell ref="BF105:BG105"/>
    <mergeCell ref="AT106:AU106"/>
    <mergeCell ref="AV106:AW106"/>
    <mergeCell ref="AY106:AZ106"/>
    <mergeCell ref="BA106:BB106"/>
    <mergeCell ref="BD106:BE106"/>
    <mergeCell ref="BF106:BG106"/>
    <mergeCell ref="AT103:AU103"/>
    <mergeCell ref="AV103:AW103"/>
    <mergeCell ref="AY103:AZ103"/>
    <mergeCell ref="BA103:BB103"/>
    <mergeCell ref="BD103:BE103"/>
    <mergeCell ref="BF103:BG103"/>
    <mergeCell ref="AT104:AU104"/>
    <mergeCell ref="AV104:AW104"/>
    <mergeCell ref="AY104:AZ104"/>
    <mergeCell ref="BA104:BB104"/>
    <mergeCell ref="BD104:BE104"/>
    <mergeCell ref="BF104:BG104"/>
    <mergeCell ref="AT101:AU101"/>
    <mergeCell ref="AV101:AW101"/>
    <mergeCell ref="AY101:AZ101"/>
    <mergeCell ref="BA101:BB101"/>
    <mergeCell ref="BD101:BE101"/>
    <mergeCell ref="BF101:BG101"/>
    <mergeCell ref="AT102:AU102"/>
    <mergeCell ref="AV102:AW102"/>
    <mergeCell ref="AY102:AZ102"/>
    <mergeCell ref="BA102:BB102"/>
    <mergeCell ref="BD102:BE102"/>
    <mergeCell ref="BF102:BG102"/>
    <mergeCell ref="AT99:AU99"/>
    <mergeCell ref="AV99:AW99"/>
    <mergeCell ref="AY99:AZ99"/>
    <mergeCell ref="BA99:BB99"/>
    <mergeCell ref="BD99:BE99"/>
    <mergeCell ref="BF99:BG99"/>
    <mergeCell ref="AT100:AU100"/>
    <mergeCell ref="AV100:AW100"/>
    <mergeCell ref="AY100:AZ100"/>
    <mergeCell ref="BA100:BB100"/>
    <mergeCell ref="BD100:BE100"/>
    <mergeCell ref="BF100:BG100"/>
    <mergeCell ref="AT97:AU97"/>
    <mergeCell ref="AV97:AW97"/>
    <mergeCell ref="AY97:AZ97"/>
    <mergeCell ref="BA97:BB97"/>
    <mergeCell ref="BD97:BE97"/>
    <mergeCell ref="BF97:BG97"/>
    <mergeCell ref="AT98:AU98"/>
    <mergeCell ref="AV98:AW98"/>
    <mergeCell ref="AY98:AZ98"/>
    <mergeCell ref="BA98:BB98"/>
    <mergeCell ref="BD98:BE98"/>
    <mergeCell ref="BF98:BG98"/>
    <mergeCell ref="AT95:AU95"/>
    <mergeCell ref="AV95:AW95"/>
    <mergeCell ref="AY95:AZ95"/>
    <mergeCell ref="BA95:BB95"/>
    <mergeCell ref="BD95:BE95"/>
    <mergeCell ref="BF95:BG95"/>
    <mergeCell ref="AT96:AU96"/>
    <mergeCell ref="AV96:AW96"/>
    <mergeCell ref="AY96:AZ96"/>
    <mergeCell ref="BA96:BB96"/>
    <mergeCell ref="BD96:BE96"/>
    <mergeCell ref="BF96:BG96"/>
    <mergeCell ref="AT94:AU94"/>
    <mergeCell ref="AV94:AW94"/>
    <mergeCell ref="AY94:AZ94"/>
    <mergeCell ref="BA94:BB94"/>
    <mergeCell ref="BD94:BE94"/>
    <mergeCell ref="BF94:BG94"/>
    <mergeCell ref="AT91:AU91"/>
    <mergeCell ref="AV91:AW91"/>
    <mergeCell ref="AY91:AZ91"/>
    <mergeCell ref="BA91:BB91"/>
    <mergeCell ref="BD91:BE91"/>
    <mergeCell ref="BF91:BG91"/>
    <mergeCell ref="AT92:AU92"/>
    <mergeCell ref="AV92:AW92"/>
    <mergeCell ref="AY92:AZ92"/>
    <mergeCell ref="BA92:BB92"/>
    <mergeCell ref="BD92:BE92"/>
    <mergeCell ref="BF92:BG92"/>
    <mergeCell ref="AV87:AW87"/>
    <mergeCell ref="AY87:AZ87"/>
    <mergeCell ref="BA87:BB87"/>
    <mergeCell ref="BD87:BE87"/>
    <mergeCell ref="BF87:BG87"/>
    <mergeCell ref="AT88:AU88"/>
    <mergeCell ref="AV88:AW88"/>
    <mergeCell ref="AY88:AZ88"/>
    <mergeCell ref="BA88:BB88"/>
    <mergeCell ref="BD88:BE88"/>
    <mergeCell ref="BF88:BG88"/>
    <mergeCell ref="AT90:AU90"/>
    <mergeCell ref="AV90:AW90"/>
    <mergeCell ref="AY90:AZ90"/>
    <mergeCell ref="BA90:BB90"/>
    <mergeCell ref="BD90:BE90"/>
    <mergeCell ref="BF90:BG90"/>
    <mergeCell ref="AT93:AU93"/>
    <mergeCell ref="AV93:AW93"/>
    <mergeCell ref="AY93:AZ93"/>
    <mergeCell ref="BA93:BB93"/>
    <mergeCell ref="BD93:BE93"/>
    <mergeCell ref="BF93:BG93"/>
    <mergeCell ref="C58:D58"/>
    <mergeCell ref="J175:M175"/>
    <mergeCell ref="J173:M173"/>
    <mergeCell ref="F176:I176"/>
    <mergeCell ref="J185:M185"/>
    <mergeCell ref="J179:M179"/>
    <mergeCell ref="F180:I180"/>
    <mergeCell ref="F185:I185"/>
    <mergeCell ref="B188:E188"/>
    <mergeCell ref="B194:E194"/>
    <mergeCell ref="B187:E187"/>
    <mergeCell ref="B185:E185"/>
    <mergeCell ref="J181:M181"/>
    <mergeCell ref="B180:E180"/>
    <mergeCell ref="F183:I183"/>
    <mergeCell ref="B183:E183"/>
    <mergeCell ref="B184:E184"/>
    <mergeCell ref="B181:E181"/>
    <mergeCell ref="F179:I179"/>
    <mergeCell ref="F191:I191"/>
    <mergeCell ref="J191:M191"/>
    <mergeCell ref="F192:I192"/>
    <mergeCell ref="J192:M192"/>
    <mergeCell ref="B191:E191"/>
    <mergeCell ref="B192:E192"/>
    <mergeCell ref="B186:E186"/>
    <mergeCell ref="AT85:AW85"/>
    <mergeCell ref="AX85:AX86"/>
    <mergeCell ref="AY85:BB85"/>
    <mergeCell ref="BC85:BC86"/>
    <mergeCell ref="BD85:BG85"/>
    <mergeCell ref="BH85:BH86"/>
    <mergeCell ref="AT86:AU86"/>
    <mergeCell ref="AV86:AW86"/>
    <mergeCell ref="AY86:AZ86"/>
    <mergeCell ref="BA86:BB86"/>
    <mergeCell ref="BD86:BE86"/>
    <mergeCell ref="BF86:BG86"/>
    <mergeCell ref="AT89:AU89"/>
    <mergeCell ref="AV89:AW89"/>
    <mergeCell ref="AY89:AZ89"/>
    <mergeCell ref="BA89:BB89"/>
    <mergeCell ref="BD89:BE89"/>
    <mergeCell ref="BF89:BG89"/>
    <mergeCell ref="AT87:AU87"/>
    <mergeCell ref="J182:M182"/>
    <mergeCell ref="J194:M194"/>
    <mergeCell ref="J188:M188"/>
    <mergeCell ref="J178:M178"/>
    <mergeCell ref="J183:M183"/>
    <mergeCell ref="F181:I181"/>
    <mergeCell ref="F194:I194"/>
    <mergeCell ref="F188:I188"/>
    <mergeCell ref="J190:M190"/>
    <mergeCell ref="J184:M184"/>
    <mergeCell ref="F186:I186"/>
    <mergeCell ref="J186:M186"/>
    <mergeCell ref="F187:I187"/>
    <mergeCell ref="J187:M187"/>
    <mergeCell ref="B143:BW143"/>
    <mergeCell ref="AE126:AF126"/>
    <mergeCell ref="AQ124:AR124"/>
    <mergeCell ref="B165:E165"/>
    <mergeCell ref="J171:M171"/>
    <mergeCell ref="B193:E193"/>
    <mergeCell ref="J189:M189"/>
    <mergeCell ref="F190:I190"/>
    <mergeCell ref="B190:E190"/>
    <mergeCell ref="F184:I184"/>
    <mergeCell ref="B189:E189"/>
    <mergeCell ref="B182:E182"/>
    <mergeCell ref="B179:E179"/>
    <mergeCell ref="F182:I182"/>
    <mergeCell ref="J180:M180"/>
    <mergeCell ref="F189:I189"/>
    <mergeCell ref="J193:M193"/>
    <mergeCell ref="F193:I193"/>
    <mergeCell ref="U83:AW83"/>
    <mergeCell ref="F158:I158"/>
    <mergeCell ref="J158:M158"/>
    <mergeCell ref="J159:M159"/>
    <mergeCell ref="B159:E159"/>
    <mergeCell ref="BQ1:BW1"/>
    <mergeCell ref="B144:AS144"/>
    <mergeCell ref="Z123:AA123"/>
    <mergeCell ref="AB123:AC123"/>
    <mergeCell ref="AB121:AC121"/>
    <mergeCell ref="Z114:AA114"/>
    <mergeCell ref="AB114:AC114"/>
    <mergeCell ref="R114:S114"/>
    <mergeCell ref="U114:V114"/>
    <mergeCell ref="AL123:AM123"/>
    <mergeCell ref="AO123:AP123"/>
    <mergeCell ref="B114:E114"/>
    <mergeCell ref="U129:V129"/>
    <mergeCell ref="P114:Q114"/>
    <mergeCell ref="R115:S115"/>
    <mergeCell ref="B118:E118"/>
    <mergeCell ref="H129:I129"/>
    <mergeCell ref="AJ123:AK123"/>
    <mergeCell ref="K123:L123"/>
    <mergeCell ref="P123:Q123"/>
    <mergeCell ref="AQ128:AR128"/>
    <mergeCell ref="AL127:AM127"/>
    <mergeCell ref="AE124:AF124"/>
    <mergeCell ref="AG124:AH124"/>
    <mergeCell ref="J157:M157"/>
    <mergeCell ref="AJ114:AK114"/>
    <mergeCell ref="P129:Q129"/>
    <mergeCell ref="F171:I171"/>
    <mergeCell ref="B171:E171"/>
    <mergeCell ref="J167:M167"/>
    <mergeCell ref="F165:I165"/>
    <mergeCell ref="J166:M166"/>
    <mergeCell ref="F166:I166"/>
    <mergeCell ref="F172:I172"/>
    <mergeCell ref="J172:M172"/>
    <mergeCell ref="R124:S124"/>
    <mergeCell ref="U124:V124"/>
    <mergeCell ref="Z125:AA125"/>
    <mergeCell ref="R125:S125"/>
    <mergeCell ref="F125:G125"/>
    <mergeCell ref="H125:I125"/>
    <mergeCell ref="U127:V127"/>
    <mergeCell ref="K126:L126"/>
    <mergeCell ref="M126:N126"/>
    <mergeCell ref="F126:G126"/>
    <mergeCell ref="B126:E126"/>
    <mergeCell ref="J164:M164"/>
    <mergeCell ref="F163:I163"/>
    <mergeCell ref="B164:E164"/>
    <mergeCell ref="B166:E166"/>
    <mergeCell ref="J165:M165"/>
    <mergeCell ref="J163:M163"/>
    <mergeCell ref="B157:E157"/>
    <mergeCell ref="B125:E125"/>
    <mergeCell ref="B124:E124"/>
    <mergeCell ref="Z127:AA127"/>
    <mergeCell ref="F168:I168"/>
    <mergeCell ref="B137:AS137"/>
    <mergeCell ref="AO129:AP129"/>
    <mergeCell ref="F178:I178"/>
    <mergeCell ref="B178:E178"/>
    <mergeCell ref="B177:E177"/>
    <mergeCell ref="J176:M176"/>
    <mergeCell ref="F174:I174"/>
    <mergeCell ref="B173:E173"/>
    <mergeCell ref="J174:M174"/>
    <mergeCell ref="F175:I175"/>
    <mergeCell ref="U85:X85"/>
    <mergeCell ref="Y85:Y86"/>
    <mergeCell ref="U86:V86"/>
    <mergeCell ref="P92:Q92"/>
    <mergeCell ref="W92:X92"/>
    <mergeCell ref="R112:S112"/>
    <mergeCell ref="H113:I113"/>
    <mergeCell ref="P108:Q108"/>
    <mergeCell ref="B113:E113"/>
    <mergeCell ref="H110:I110"/>
    <mergeCell ref="B111:E111"/>
    <mergeCell ref="B110:E110"/>
    <mergeCell ref="P111:Q111"/>
    <mergeCell ref="M111:N111"/>
    <mergeCell ref="M113:N113"/>
    <mergeCell ref="B116:E116"/>
    <mergeCell ref="W120:X120"/>
    <mergeCell ref="U120:V120"/>
    <mergeCell ref="J161:M161"/>
    <mergeCell ref="K121:L121"/>
    <mergeCell ref="R126:S126"/>
    <mergeCell ref="F177:I177"/>
    <mergeCell ref="B169:E169"/>
    <mergeCell ref="B167:E167"/>
    <mergeCell ref="O85:O86"/>
    <mergeCell ref="P93:Q93"/>
    <mergeCell ref="P86:Q86"/>
    <mergeCell ref="P87:Q87"/>
    <mergeCell ref="P88:Q88"/>
    <mergeCell ref="P90:Q90"/>
    <mergeCell ref="P89:Q89"/>
    <mergeCell ref="P91:Q91"/>
    <mergeCell ref="R91:S91"/>
    <mergeCell ref="R92:S92"/>
    <mergeCell ref="R93:S93"/>
    <mergeCell ref="P85:S85"/>
    <mergeCell ref="AB93:AC93"/>
    <mergeCell ref="F173:I173"/>
    <mergeCell ref="B175:E175"/>
    <mergeCell ref="B176:E176"/>
    <mergeCell ref="B172:E172"/>
    <mergeCell ref="AB124:AC124"/>
    <mergeCell ref="B160:E160"/>
    <mergeCell ref="F169:I169"/>
    <mergeCell ref="B170:E170"/>
    <mergeCell ref="F170:I170"/>
    <mergeCell ref="J168:M168"/>
    <mergeCell ref="J169:M169"/>
    <mergeCell ref="J170:M170"/>
    <mergeCell ref="F161:I161"/>
    <mergeCell ref="F164:I164"/>
    <mergeCell ref="B161:E161"/>
    <mergeCell ref="B162:E162"/>
    <mergeCell ref="B163:E163"/>
    <mergeCell ref="P121:Q121"/>
    <mergeCell ref="R129:S129"/>
    <mergeCell ref="R86:S86"/>
    <mergeCell ref="R87:S87"/>
    <mergeCell ref="R88:S88"/>
    <mergeCell ref="R89:S89"/>
    <mergeCell ref="R90:S90"/>
    <mergeCell ref="U101:V101"/>
    <mergeCell ref="R94:S94"/>
    <mergeCell ref="AB95:AC95"/>
    <mergeCell ref="AB96:AC96"/>
    <mergeCell ref="AB98:AC98"/>
    <mergeCell ref="AB103:AC103"/>
    <mergeCell ref="AB97:AC97"/>
    <mergeCell ref="AB101:AC101"/>
    <mergeCell ref="U87:V87"/>
    <mergeCell ref="W87:X87"/>
    <mergeCell ref="U88:V88"/>
    <mergeCell ref="W88:X88"/>
    <mergeCell ref="W89:X89"/>
    <mergeCell ref="U89:V89"/>
    <mergeCell ref="AB91:AC91"/>
    <mergeCell ref="Z99:AA99"/>
    <mergeCell ref="AB99:AC99"/>
    <mergeCell ref="Z100:AA100"/>
    <mergeCell ref="AB100:AC100"/>
    <mergeCell ref="Z98:AA98"/>
    <mergeCell ref="Z97:AA97"/>
    <mergeCell ref="W96:X96"/>
    <mergeCell ref="W98:X98"/>
    <mergeCell ref="W100:X100"/>
    <mergeCell ref="W97:X97"/>
    <mergeCell ref="Z87:AA87"/>
    <mergeCell ref="W95:X95"/>
    <mergeCell ref="AQ111:AR111"/>
    <mergeCell ref="AJ111:AK111"/>
    <mergeCell ref="U111:V111"/>
    <mergeCell ref="AO111:AP111"/>
    <mergeCell ref="Z109:AA109"/>
    <mergeCell ref="AJ108:AK108"/>
    <mergeCell ref="AJ109:AK109"/>
    <mergeCell ref="W110:X110"/>
    <mergeCell ref="AO110:AP110"/>
    <mergeCell ref="AL110:AM110"/>
    <mergeCell ref="AE110:AF110"/>
    <mergeCell ref="W86:X86"/>
    <mergeCell ref="AB106:AC106"/>
    <mergeCell ref="AB105:AC105"/>
    <mergeCell ref="AE107:AF107"/>
    <mergeCell ref="AB107:AC107"/>
    <mergeCell ref="T85:T86"/>
    <mergeCell ref="Z94:AA94"/>
    <mergeCell ref="Z92:AA92"/>
    <mergeCell ref="Z89:AA89"/>
    <mergeCell ref="Z93:AA93"/>
    <mergeCell ref="U92:V92"/>
    <mergeCell ref="U93:V93"/>
    <mergeCell ref="W91:X91"/>
    <mergeCell ref="U90:V90"/>
    <mergeCell ref="Z91:AA91"/>
    <mergeCell ref="Z95:AA95"/>
    <mergeCell ref="Z96:AA96"/>
    <mergeCell ref="AJ115:AK115"/>
    <mergeCell ref="AL115:AM115"/>
    <mergeCell ref="B20:AS20"/>
    <mergeCell ref="Q44:AS44"/>
    <mergeCell ref="P110:Q110"/>
    <mergeCell ref="B109:E109"/>
    <mergeCell ref="F109:G109"/>
    <mergeCell ref="F110:G110"/>
    <mergeCell ref="K110:L110"/>
    <mergeCell ref="AL114:AM114"/>
    <mergeCell ref="AB113:AC113"/>
    <mergeCell ref="Z115:AA115"/>
    <mergeCell ref="AB115:AC115"/>
    <mergeCell ref="P115:Q115"/>
    <mergeCell ref="K112:L112"/>
    <mergeCell ref="AB108:AC108"/>
    <mergeCell ref="F113:G113"/>
    <mergeCell ref="AQ110:AR110"/>
    <mergeCell ref="AL109:AM109"/>
    <mergeCell ref="H109:I109"/>
    <mergeCell ref="K109:L109"/>
    <mergeCell ref="M109:N109"/>
    <mergeCell ref="P109:Q109"/>
    <mergeCell ref="F114:G114"/>
    <mergeCell ref="B112:E112"/>
    <mergeCell ref="K111:L111"/>
    <mergeCell ref="AE113:AF113"/>
    <mergeCell ref="W111:X111"/>
    <mergeCell ref="U113:V113"/>
    <mergeCell ref="Z111:AA111"/>
    <mergeCell ref="S63:AS63"/>
    <mergeCell ref="AL111:AM111"/>
    <mergeCell ref="AG109:AH109"/>
    <mergeCell ref="W108:X108"/>
    <mergeCell ref="AG110:AH110"/>
    <mergeCell ref="AG112:AH112"/>
    <mergeCell ref="AG111:AH111"/>
    <mergeCell ref="Z110:AA110"/>
    <mergeCell ref="M112:N112"/>
    <mergeCell ref="R111:S111"/>
    <mergeCell ref="AE109:AF109"/>
    <mergeCell ref="AG113:AH113"/>
    <mergeCell ref="B66:G66"/>
    <mergeCell ref="B72:G72"/>
    <mergeCell ref="B108:E108"/>
    <mergeCell ref="F108:G108"/>
    <mergeCell ref="M110:N110"/>
    <mergeCell ref="R107:S107"/>
    <mergeCell ref="R105:S105"/>
    <mergeCell ref="R109:S109"/>
    <mergeCell ref="B94:E94"/>
    <mergeCell ref="H104:I104"/>
    <mergeCell ref="R100:S100"/>
    <mergeCell ref="R108:S108"/>
    <mergeCell ref="P106:Q106"/>
    <mergeCell ref="B99:E99"/>
    <mergeCell ref="F100:G100"/>
    <mergeCell ref="B101:E101"/>
    <mergeCell ref="Z106:AA106"/>
    <mergeCell ref="Z105:AA105"/>
    <mergeCell ref="R106:S106"/>
    <mergeCell ref="U109:V109"/>
    <mergeCell ref="H107:I107"/>
    <mergeCell ref="B107:E107"/>
    <mergeCell ref="AB112:AC112"/>
    <mergeCell ref="U110:V110"/>
    <mergeCell ref="Z112:AA112"/>
    <mergeCell ref="P112:Q112"/>
    <mergeCell ref="AO112:AP112"/>
    <mergeCell ref="F156:I156"/>
    <mergeCell ref="AG115:AH115"/>
    <mergeCell ref="AJ113:AK113"/>
    <mergeCell ref="AE114:AF114"/>
    <mergeCell ref="AB129:AC129"/>
    <mergeCell ref="AE129:AF129"/>
    <mergeCell ref="K124:L124"/>
    <mergeCell ref="F122:G122"/>
    <mergeCell ref="W122:X122"/>
    <mergeCell ref="H122:I122"/>
    <mergeCell ref="K122:L122"/>
    <mergeCell ref="M122:N122"/>
    <mergeCell ref="P122:Q122"/>
    <mergeCell ref="R122:S122"/>
    <mergeCell ref="H119:I119"/>
    <mergeCell ref="K119:L119"/>
    <mergeCell ref="M118:N118"/>
    <mergeCell ref="AE111:AF111"/>
    <mergeCell ref="AL129:AM129"/>
    <mergeCell ref="AE115:AF115"/>
    <mergeCell ref="AJ129:AK129"/>
    <mergeCell ref="AJ125:AK125"/>
    <mergeCell ref="AG126:AH126"/>
    <mergeCell ref="AJ126:AK126"/>
    <mergeCell ref="M123:N123"/>
    <mergeCell ref="W126:X126"/>
    <mergeCell ref="P124:Q124"/>
    <mergeCell ref="AL113:AM113"/>
    <mergeCell ref="M121:N121"/>
    <mergeCell ref="M124:N124"/>
    <mergeCell ref="J160:M160"/>
    <mergeCell ref="F160:I160"/>
    <mergeCell ref="J155:M155"/>
    <mergeCell ref="J156:M156"/>
    <mergeCell ref="M129:N129"/>
    <mergeCell ref="F121:G121"/>
    <mergeCell ref="U125:V125"/>
    <mergeCell ref="R123:S123"/>
    <mergeCell ref="W123:X123"/>
    <mergeCell ref="B123:E123"/>
    <mergeCell ref="U123:V123"/>
    <mergeCell ref="U121:V121"/>
    <mergeCell ref="W121:X121"/>
    <mergeCell ref="U122:V122"/>
    <mergeCell ref="W124:X124"/>
    <mergeCell ref="F124:G124"/>
    <mergeCell ref="P125:Q125"/>
    <mergeCell ref="K125:L125"/>
    <mergeCell ref="M125:N125"/>
    <mergeCell ref="W125:X125"/>
    <mergeCell ref="W114:X114"/>
    <mergeCell ref="M114:N114"/>
    <mergeCell ref="W113:X113"/>
    <mergeCell ref="W115:X115"/>
    <mergeCell ref="B150:E151"/>
    <mergeCell ref="B115:E115"/>
    <mergeCell ref="F115:G115"/>
    <mergeCell ref="F120:G120"/>
    <mergeCell ref="K113:L113"/>
    <mergeCell ref="Z113:AA113"/>
    <mergeCell ref="W112:X112"/>
    <mergeCell ref="F111:G111"/>
    <mergeCell ref="F101:G101"/>
    <mergeCell ref="K102:L102"/>
    <mergeCell ref="H102:I102"/>
    <mergeCell ref="P104:Q104"/>
    <mergeCell ref="R102:S102"/>
    <mergeCell ref="R104:S104"/>
    <mergeCell ref="Z108:AA108"/>
    <mergeCell ref="Z107:AA107"/>
    <mergeCell ref="U105:V105"/>
    <mergeCell ref="W105:X105"/>
    <mergeCell ref="W106:X106"/>
    <mergeCell ref="P107:Q107"/>
    <mergeCell ref="W107:X107"/>
    <mergeCell ref="U107:V107"/>
    <mergeCell ref="U106:V106"/>
    <mergeCell ref="U108:V108"/>
    <mergeCell ref="P105:Q105"/>
    <mergeCell ref="U104:V104"/>
    <mergeCell ref="M108:N108"/>
    <mergeCell ref="H108:I108"/>
    <mergeCell ref="U112:V112"/>
    <mergeCell ref="R113:S113"/>
    <mergeCell ref="W103:X103"/>
    <mergeCell ref="W109:X109"/>
    <mergeCell ref="B120:E120"/>
    <mergeCell ref="K115:L115"/>
    <mergeCell ref="P116:Q116"/>
    <mergeCell ref="M116:N116"/>
    <mergeCell ref="K117:L117"/>
    <mergeCell ref="U117:V117"/>
    <mergeCell ref="F103:G103"/>
    <mergeCell ref="K107:L107"/>
    <mergeCell ref="M107:N107"/>
    <mergeCell ref="K106:L106"/>
    <mergeCell ref="M106:N106"/>
    <mergeCell ref="F112:G112"/>
    <mergeCell ref="H112:I112"/>
    <mergeCell ref="F106:G106"/>
    <mergeCell ref="H106:I106"/>
    <mergeCell ref="H111:I111"/>
    <mergeCell ref="K108:L108"/>
    <mergeCell ref="F107:G107"/>
    <mergeCell ref="U103:V103"/>
    <mergeCell ref="F104:G104"/>
    <mergeCell ref="H103:I103"/>
    <mergeCell ref="H114:I114"/>
    <mergeCell ref="R110:S110"/>
    <mergeCell ref="M105:N105"/>
    <mergeCell ref="P113:Q113"/>
    <mergeCell ref="F116:G116"/>
    <mergeCell ref="U116:V116"/>
    <mergeCell ref="P117:Q117"/>
    <mergeCell ref="B104:E104"/>
    <mergeCell ref="H115:I115"/>
    <mergeCell ref="F99:G99"/>
    <mergeCell ref="B105:E105"/>
    <mergeCell ref="K100:L100"/>
    <mergeCell ref="M100:N100"/>
    <mergeCell ref="F95:G95"/>
    <mergeCell ref="F98:G98"/>
    <mergeCell ref="H98:I98"/>
    <mergeCell ref="B97:E97"/>
    <mergeCell ref="M104:N104"/>
    <mergeCell ref="B106:E106"/>
    <mergeCell ref="F105:G105"/>
    <mergeCell ref="H105:I105"/>
    <mergeCell ref="K105:L105"/>
    <mergeCell ref="K104:L104"/>
    <mergeCell ref="K103:L103"/>
    <mergeCell ref="M103:N103"/>
    <mergeCell ref="K99:L99"/>
    <mergeCell ref="M96:N96"/>
    <mergeCell ref="H101:I101"/>
    <mergeCell ref="H99:I99"/>
    <mergeCell ref="B102:E102"/>
    <mergeCell ref="B100:E100"/>
    <mergeCell ref="B103:E103"/>
    <mergeCell ref="B96:E96"/>
    <mergeCell ref="F102:G102"/>
    <mergeCell ref="H96:I96"/>
    <mergeCell ref="F96:G96"/>
    <mergeCell ref="H97:I97"/>
    <mergeCell ref="F97:G97"/>
    <mergeCell ref="B98:E98"/>
    <mergeCell ref="H100:I100"/>
    <mergeCell ref="M102:N102"/>
    <mergeCell ref="B93:E93"/>
    <mergeCell ref="B91:E91"/>
    <mergeCell ref="H92:I92"/>
    <mergeCell ref="F93:G93"/>
    <mergeCell ref="H91:I91"/>
    <mergeCell ref="F92:G92"/>
    <mergeCell ref="H93:I93"/>
    <mergeCell ref="B95:E95"/>
    <mergeCell ref="B92:E92"/>
    <mergeCell ref="F94:G94"/>
    <mergeCell ref="F91:G91"/>
    <mergeCell ref="B90:E90"/>
    <mergeCell ref="H94:I94"/>
    <mergeCell ref="H95:I95"/>
    <mergeCell ref="K101:L101"/>
    <mergeCell ref="B86:E86"/>
    <mergeCell ref="F86:G86"/>
    <mergeCell ref="H86:I86"/>
    <mergeCell ref="K86:L86"/>
    <mergeCell ref="M86:N86"/>
    <mergeCell ref="K87:L87"/>
    <mergeCell ref="H89:I89"/>
    <mergeCell ref="F90:G90"/>
    <mergeCell ref="B89:E89"/>
    <mergeCell ref="M87:N87"/>
    <mergeCell ref="K89:L89"/>
    <mergeCell ref="M89:N89"/>
    <mergeCell ref="H90:I90"/>
    <mergeCell ref="M90:N90"/>
    <mergeCell ref="K90:L90"/>
    <mergeCell ref="J85:J86"/>
    <mergeCell ref="F88:G88"/>
    <mergeCell ref="F85:I85"/>
    <mergeCell ref="F89:G89"/>
    <mergeCell ref="H87:I87"/>
    <mergeCell ref="F87:G87"/>
    <mergeCell ref="K85:N85"/>
    <mergeCell ref="K88:L88"/>
    <mergeCell ref="M88:N88"/>
    <mergeCell ref="H88:I88"/>
    <mergeCell ref="B87:E87"/>
    <mergeCell ref="B88:E88"/>
    <mergeCell ref="P95:Q95"/>
    <mergeCell ref="U94:V94"/>
    <mergeCell ref="P103:Q103"/>
    <mergeCell ref="R103:S103"/>
    <mergeCell ref="R95:S95"/>
    <mergeCell ref="U96:V96"/>
    <mergeCell ref="U97:V97"/>
    <mergeCell ref="U95:V95"/>
    <mergeCell ref="P96:Q96"/>
    <mergeCell ref="R96:S96"/>
    <mergeCell ref="P100:Q100"/>
    <mergeCell ref="R99:S99"/>
    <mergeCell ref="P99:Q99"/>
    <mergeCell ref="W94:X94"/>
    <mergeCell ref="K91:L91"/>
    <mergeCell ref="K93:L93"/>
    <mergeCell ref="K97:L97"/>
    <mergeCell ref="K94:L94"/>
    <mergeCell ref="M93:N93"/>
    <mergeCell ref="K98:L98"/>
    <mergeCell ref="K92:L92"/>
    <mergeCell ref="K96:L96"/>
    <mergeCell ref="M94:N94"/>
    <mergeCell ref="M91:N91"/>
    <mergeCell ref="K95:L95"/>
    <mergeCell ref="M95:N95"/>
    <mergeCell ref="M92:N92"/>
    <mergeCell ref="M97:N97"/>
    <mergeCell ref="M98:N98"/>
    <mergeCell ref="M99:N99"/>
    <mergeCell ref="M101:N101"/>
    <mergeCell ref="U91:V91"/>
    <mergeCell ref="P97:Q97"/>
    <mergeCell ref="R97:S97"/>
    <mergeCell ref="P98:Q98"/>
    <mergeCell ref="R98:S98"/>
    <mergeCell ref="AL95:AM95"/>
    <mergeCell ref="AJ90:AK90"/>
    <mergeCell ref="AJ88:AK88"/>
    <mergeCell ref="AL88:AM88"/>
    <mergeCell ref="AG96:AH96"/>
    <mergeCell ref="AE88:AF88"/>
    <mergeCell ref="AG92:AH92"/>
    <mergeCell ref="AG93:AH93"/>
    <mergeCell ref="U102:V102"/>
    <mergeCell ref="U98:V98"/>
    <mergeCell ref="U99:V99"/>
    <mergeCell ref="U100:V100"/>
    <mergeCell ref="P101:Q101"/>
    <mergeCell ref="R101:S101"/>
    <mergeCell ref="P94:Q94"/>
    <mergeCell ref="W99:X99"/>
    <mergeCell ref="P102:Q102"/>
    <mergeCell ref="W93:X93"/>
    <mergeCell ref="AB89:AC89"/>
    <mergeCell ref="AB92:AC92"/>
    <mergeCell ref="AJ96:AK96"/>
    <mergeCell ref="AL96:AM96"/>
    <mergeCell ref="AJ91:AK91"/>
    <mergeCell ref="AL91:AM91"/>
    <mergeCell ref="AJ92:AK92"/>
    <mergeCell ref="AL92:AM92"/>
    <mergeCell ref="AJ93:AK93"/>
    <mergeCell ref="AL93:AM93"/>
    <mergeCell ref="Z88:AA88"/>
    <mergeCell ref="AB87:AC87"/>
    <mergeCell ref="AB88:AC88"/>
    <mergeCell ref="Z90:AA90"/>
    <mergeCell ref="AB90:AC90"/>
    <mergeCell ref="AB94:AC94"/>
    <mergeCell ref="AE92:AF92"/>
    <mergeCell ref="AE90:AF90"/>
    <mergeCell ref="AE91:AF91"/>
    <mergeCell ref="W101:X101"/>
    <mergeCell ref="Z103:AA103"/>
    <mergeCell ref="AG86:AH86"/>
    <mergeCell ref="AG88:AH88"/>
    <mergeCell ref="AG89:AH89"/>
    <mergeCell ref="W90:X90"/>
    <mergeCell ref="Z85:AC85"/>
    <mergeCell ref="AD85:AD86"/>
    <mergeCell ref="Z86:AA86"/>
    <mergeCell ref="AB86:AC86"/>
    <mergeCell ref="AE85:AH85"/>
    <mergeCell ref="AG103:AH103"/>
    <mergeCell ref="AE104:AF104"/>
    <mergeCell ref="AE102:AF102"/>
    <mergeCell ref="AG102:AH102"/>
    <mergeCell ref="AJ94:AK94"/>
    <mergeCell ref="AJ95:AK95"/>
    <mergeCell ref="AE94:AF94"/>
    <mergeCell ref="AE95:AF95"/>
    <mergeCell ref="AG95:AH95"/>
    <mergeCell ref="AJ89:AK89"/>
    <mergeCell ref="AQ88:AR88"/>
    <mergeCell ref="AO89:AP89"/>
    <mergeCell ref="AO90:AP90"/>
    <mergeCell ref="AQ90:AR90"/>
    <mergeCell ref="AO93:AP93"/>
    <mergeCell ref="AQ93:AR93"/>
    <mergeCell ref="AL94:AM94"/>
    <mergeCell ref="AL90:AM90"/>
    <mergeCell ref="AO85:AR85"/>
    <mergeCell ref="AJ85:AM85"/>
    <mergeCell ref="AN85:AN86"/>
    <mergeCell ref="AJ86:AK86"/>
    <mergeCell ref="AQ102:AR102"/>
    <mergeCell ref="AL86:AM86"/>
    <mergeCell ref="AJ87:AK87"/>
    <mergeCell ref="AL100:AM100"/>
    <mergeCell ref="AI85:AI86"/>
    <mergeCell ref="AE86:AF86"/>
    <mergeCell ref="AE87:AF87"/>
    <mergeCell ref="AE89:AF89"/>
    <mergeCell ref="AE96:AF96"/>
    <mergeCell ref="AG100:AH100"/>
    <mergeCell ref="AJ103:AK103"/>
    <mergeCell ref="AL103:AM103"/>
    <mergeCell ref="AJ104:AK104"/>
    <mergeCell ref="AL104:AM104"/>
    <mergeCell ref="AL106:AM106"/>
    <mergeCell ref="AL107:AM107"/>
    <mergeCell ref="AJ105:AK105"/>
    <mergeCell ref="AG108:AH108"/>
    <mergeCell ref="AE108:AF108"/>
    <mergeCell ref="AG107:AH107"/>
    <mergeCell ref="AJ100:AK100"/>
    <mergeCell ref="AJ101:AK101"/>
    <mergeCell ref="AE103:AF103"/>
    <mergeCell ref="AG87:AH87"/>
    <mergeCell ref="AG90:AH90"/>
    <mergeCell ref="AG91:AH91"/>
    <mergeCell ref="AJ98:AK98"/>
    <mergeCell ref="AJ99:AK99"/>
    <mergeCell ref="AE93:AF93"/>
    <mergeCell ref="AS85:AS86"/>
    <mergeCell ref="AO86:AP86"/>
    <mergeCell ref="AQ86:AR86"/>
    <mergeCell ref="AO87:AP87"/>
    <mergeCell ref="AQ87:AR87"/>
    <mergeCell ref="AQ96:AR96"/>
    <mergeCell ref="AO91:AP91"/>
    <mergeCell ref="AQ91:AR91"/>
    <mergeCell ref="AO92:AP92"/>
    <mergeCell ref="AQ92:AR92"/>
    <mergeCell ref="AO95:AP95"/>
    <mergeCell ref="AQ95:AR95"/>
    <mergeCell ref="AQ94:AR94"/>
    <mergeCell ref="AO94:AP94"/>
    <mergeCell ref="AO96:AP96"/>
    <mergeCell ref="AO88:AP88"/>
    <mergeCell ref="AL108:AM108"/>
    <mergeCell ref="AL98:AM98"/>
    <mergeCell ref="AL99:AM99"/>
    <mergeCell ref="AO106:AP106"/>
    <mergeCell ref="AO108:AP108"/>
    <mergeCell ref="AE97:AF97"/>
    <mergeCell ref="AG97:AH97"/>
    <mergeCell ref="AE98:AF98"/>
    <mergeCell ref="AG98:AH98"/>
    <mergeCell ref="AE99:AF99"/>
    <mergeCell ref="AG99:AH99"/>
    <mergeCell ref="AG104:AH104"/>
    <mergeCell ref="AE101:AF101"/>
    <mergeCell ref="AG101:AH101"/>
    <mergeCell ref="AE100:AF100"/>
    <mergeCell ref="AG94:AH94"/>
    <mergeCell ref="AQ125:AR125"/>
    <mergeCell ref="AO121:AP121"/>
    <mergeCell ref="AQ123:AR123"/>
    <mergeCell ref="P126:Q126"/>
    <mergeCell ref="Z126:AA126"/>
    <mergeCell ref="AB126:AC126"/>
    <mergeCell ref="U126:V126"/>
    <mergeCell ref="Z117:AA117"/>
    <mergeCell ref="AJ117:AK117"/>
    <mergeCell ref="AG121:AH121"/>
    <mergeCell ref="AJ121:AK121"/>
    <mergeCell ref="AE112:AF112"/>
    <mergeCell ref="AO113:AP113"/>
    <mergeCell ref="AO114:AP114"/>
    <mergeCell ref="AG114:AH114"/>
    <mergeCell ref="AO115:AP115"/>
    <mergeCell ref="AO117:AP117"/>
    <mergeCell ref="AL116:AM116"/>
    <mergeCell ref="AJ116:AK116"/>
    <mergeCell ref="AE116:AF116"/>
    <mergeCell ref="AJ112:AK112"/>
    <mergeCell ref="H126:I126"/>
    <mergeCell ref="AE123:AF123"/>
    <mergeCell ref="AG123:AH123"/>
    <mergeCell ref="AQ122:AR122"/>
    <mergeCell ref="P119:Q119"/>
    <mergeCell ref="W119:X119"/>
    <mergeCell ref="AL125:AM125"/>
    <mergeCell ref="AJ124:AK124"/>
    <mergeCell ref="AE121:AF121"/>
    <mergeCell ref="Z121:AA121"/>
    <mergeCell ref="AE118:AF118"/>
    <mergeCell ref="AO118:AP118"/>
    <mergeCell ref="AB118:AC118"/>
    <mergeCell ref="AG118:AH118"/>
    <mergeCell ref="AG119:AH119"/>
    <mergeCell ref="AG122:AH122"/>
    <mergeCell ref="AJ122:AK122"/>
    <mergeCell ref="AO124:AP124"/>
    <mergeCell ref="M120:N120"/>
    <mergeCell ref="M119:N119"/>
    <mergeCell ref="H120:I120"/>
    <mergeCell ref="K120:L120"/>
    <mergeCell ref="AO101:AP101"/>
    <mergeCell ref="AQ101:AR101"/>
    <mergeCell ref="AO105:AP105"/>
    <mergeCell ref="AQ105:AR105"/>
    <mergeCell ref="F123:G123"/>
    <mergeCell ref="B121:E121"/>
    <mergeCell ref="AQ120:AR120"/>
    <mergeCell ref="Z120:AA120"/>
    <mergeCell ref="AE120:AF120"/>
    <mergeCell ref="AB120:AC120"/>
    <mergeCell ref="R118:S118"/>
    <mergeCell ref="U118:V118"/>
    <mergeCell ref="P118:Q118"/>
    <mergeCell ref="B122:E122"/>
    <mergeCell ref="R120:S120"/>
    <mergeCell ref="P120:Q120"/>
    <mergeCell ref="AL121:AM121"/>
    <mergeCell ref="H121:I121"/>
    <mergeCell ref="AQ108:AR108"/>
    <mergeCell ref="AE105:AF105"/>
    <mergeCell ref="AG105:AH105"/>
    <mergeCell ref="AE106:AF106"/>
    <mergeCell ref="AG106:AH106"/>
    <mergeCell ref="W104:X104"/>
    <mergeCell ref="Z101:AA101"/>
    <mergeCell ref="Z104:AA104"/>
    <mergeCell ref="AB104:AC104"/>
    <mergeCell ref="Z102:AA102"/>
    <mergeCell ref="W102:X102"/>
    <mergeCell ref="AB102:AC102"/>
    <mergeCell ref="H116:I116"/>
    <mergeCell ref="U115:V115"/>
    <mergeCell ref="AQ119:AR119"/>
    <mergeCell ref="AQ114:AR114"/>
    <mergeCell ref="AQ112:AR112"/>
    <mergeCell ref="K114:L114"/>
    <mergeCell ref="M115:N115"/>
    <mergeCell ref="AQ121:AR121"/>
    <mergeCell ref="AB111:AC111"/>
    <mergeCell ref="AB116:AC116"/>
    <mergeCell ref="AL112:AM112"/>
    <mergeCell ref="AO119:AP119"/>
    <mergeCell ref="AL120:AM120"/>
    <mergeCell ref="AO116:AP116"/>
    <mergeCell ref="Z119:AA119"/>
    <mergeCell ref="AL117:AM117"/>
    <mergeCell ref="Q37:AS38"/>
    <mergeCell ref="H66:AS66"/>
    <mergeCell ref="AO97:AP97"/>
    <mergeCell ref="AQ97:AR97"/>
    <mergeCell ref="AO98:AP98"/>
    <mergeCell ref="AQ98:AR98"/>
    <mergeCell ref="AO99:AP99"/>
    <mergeCell ref="AQ99:AR99"/>
    <mergeCell ref="AO100:AP100"/>
    <mergeCell ref="AQ100:AR100"/>
    <mergeCell ref="AO102:AP102"/>
    <mergeCell ref="AL105:AM105"/>
    <mergeCell ref="AJ102:AK102"/>
    <mergeCell ref="AL102:AM102"/>
    <mergeCell ref="AJ97:AK97"/>
    <mergeCell ref="AL97:AM97"/>
    <mergeCell ref="AQ89:AR89"/>
    <mergeCell ref="AJ106:AK106"/>
    <mergeCell ref="Z124:AA124"/>
    <mergeCell ref="AQ104:AR104"/>
    <mergeCell ref="AQ106:AR106"/>
    <mergeCell ref="AO107:AP107"/>
    <mergeCell ref="W118:X118"/>
    <mergeCell ref="Z118:AA118"/>
    <mergeCell ref="B40:O41"/>
    <mergeCell ref="B49:AP49"/>
    <mergeCell ref="C56:D56"/>
    <mergeCell ref="B44:O44"/>
    <mergeCell ref="K118:L118"/>
    <mergeCell ref="K116:L116"/>
    <mergeCell ref="AQ118:AR118"/>
    <mergeCell ref="B119:E119"/>
    <mergeCell ref="F119:G119"/>
    <mergeCell ref="F117:G117"/>
    <mergeCell ref="AJ110:AK110"/>
    <mergeCell ref="AQ107:AR107"/>
    <mergeCell ref="AQ116:AR116"/>
    <mergeCell ref="AQ109:AR109"/>
    <mergeCell ref="AL87:AM87"/>
    <mergeCell ref="AL89:AM89"/>
    <mergeCell ref="AJ107:AK107"/>
    <mergeCell ref="AB122:AC122"/>
    <mergeCell ref="AL118:AM118"/>
    <mergeCell ref="AB119:AC119"/>
    <mergeCell ref="AE117:AF117"/>
    <mergeCell ref="AG120:AH120"/>
    <mergeCell ref="AE119:AF119"/>
    <mergeCell ref="AO109:AP109"/>
    <mergeCell ref="AQ113:AR113"/>
    <mergeCell ref="AQ115:AR115"/>
    <mergeCell ref="W129:X129"/>
    <mergeCell ref="Z129:AA129"/>
    <mergeCell ref="AG128:AH128"/>
    <mergeCell ref="AJ128:AK128"/>
    <mergeCell ref="M117:N117"/>
    <mergeCell ref="H118:I118"/>
    <mergeCell ref="AB110:AC110"/>
    <mergeCell ref="AB109:AC109"/>
    <mergeCell ref="F118:G118"/>
    <mergeCell ref="C11:O11"/>
    <mergeCell ref="AO103:AP103"/>
    <mergeCell ref="AQ103:AR103"/>
    <mergeCell ref="AL101:AM101"/>
    <mergeCell ref="B79:AS79"/>
    <mergeCell ref="W116:X116"/>
    <mergeCell ref="AG116:AH116"/>
    <mergeCell ref="Z116:AA116"/>
    <mergeCell ref="H117:I117"/>
    <mergeCell ref="Q35:T35"/>
    <mergeCell ref="B35:O35"/>
    <mergeCell ref="T42:AS42"/>
    <mergeCell ref="Q40:AS40"/>
    <mergeCell ref="B29:O29"/>
    <mergeCell ref="B31:O31"/>
    <mergeCell ref="Q29:T29"/>
    <mergeCell ref="B37:O37"/>
    <mergeCell ref="AQ117:AR117"/>
    <mergeCell ref="Q31:AS32"/>
    <mergeCell ref="AJ118:AK118"/>
    <mergeCell ref="H123:I123"/>
    <mergeCell ref="H124:I124"/>
    <mergeCell ref="R121:S121"/>
    <mergeCell ref="BQ2:BW2"/>
    <mergeCell ref="Q42:S42"/>
    <mergeCell ref="C54:D54"/>
    <mergeCell ref="U119:V119"/>
    <mergeCell ref="AL119:AM119"/>
    <mergeCell ref="C51:D51"/>
    <mergeCell ref="B42:O42"/>
    <mergeCell ref="B85:E85"/>
    <mergeCell ref="R116:S116"/>
    <mergeCell ref="B117:E117"/>
    <mergeCell ref="AB117:AC117"/>
    <mergeCell ref="W117:X117"/>
    <mergeCell ref="AG117:AH117"/>
    <mergeCell ref="R119:S119"/>
    <mergeCell ref="R117:S117"/>
    <mergeCell ref="AJ119:AK119"/>
    <mergeCell ref="J162:M162"/>
    <mergeCell ref="AO128:AP128"/>
    <mergeCell ref="J154:M154"/>
    <mergeCell ref="K129:L129"/>
    <mergeCell ref="B127:E127"/>
    <mergeCell ref="W127:X127"/>
    <mergeCell ref="B154:E154"/>
    <mergeCell ref="F129:G129"/>
    <mergeCell ref="AG127:AH127"/>
    <mergeCell ref="F157:I157"/>
    <mergeCell ref="B158:E158"/>
    <mergeCell ref="F159:I159"/>
    <mergeCell ref="F162:I162"/>
    <mergeCell ref="B156:E156"/>
    <mergeCell ref="AJ127:AK127"/>
    <mergeCell ref="AQ129:AR129"/>
    <mergeCell ref="B205:AS205"/>
    <mergeCell ref="Y12:AB12"/>
    <mergeCell ref="B202:AS202"/>
    <mergeCell ref="B201:AS201"/>
    <mergeCell ref="B204:AS204"/>
    <mergeCell ref="B203:AS203"/>
    <mergeCell ref="AL126:AM126"/>
    <mergeCell ref="AO126:AP126"/>
    <mergeCell ref="AQ126:AR126"/>
    <mergeCell ref="AQ127:AR127"/>
    <mergeCell ref="F128:G128"/>
    <mergeCell ref="H128:I128"/>
    <mergeCell ref="K128:L128"/>
    <mergeCell ref="M128:N128"/>
    <mergeCell ref="P128:Q128"/>
    <mergeCell ref="R128:S128"/>
    <mergeCell ref="F150:I151"/>
    <mergeCell ref="AO104:AP104"/>
    <mergeCell ref="P127:Q127"/>
    <mergeCell ref="R127:S127"/>
    <mergeCell ref="AO120:AP120"/>
    <mergeCell ref="Z122:AA122"/>
    <mergeCell ref="AO125:AP125"/>
    <mergeCell ref="AL124:AM124"/>
    <mergeCell ref="AG125:AH125"/>
    <mergeCell ref="AB125:AC125"/>
    <mergeCell ref="AE125:AF125"/>
    <mergeCell ref="AL122:AM122"/>
    <mergeCell ref="AO122:AP122"/>
    <mergeCell ref="AJ120:AK120"/>
    <mergeCell ref="AE122:AF122"/>
    <mergeCell ref="B153:E153"/>
    <mergeCell ref="AO127:AP127"/>
    <mergeCell ref="F153:I153"/>
    <mergeCell ref="F152:I152"/>
    <mergeCell ref="J177:M177"/>
    <mergeCell ref="B174:E174"/>
    <mergeCell ref="AB127:AC127"/>
    <mergeCell ref="AE127:AF127"/>
    <mergeCell ref="F127:G127"/>
    <mergeCell ref="H127:I127"/>
    <mergeCell ref="B155:E155"/>
    <mergeCell ref="J152:M152"/>
    <mergeCell ref="F154:I154"/>
    <mergeCell ref="B152:E152"/>
    <mergeCell ref="J150:M151"/>
    <mergeCell ref="Z128:AA128"/>
    <mergeCell ref="AB128:AC128"/>
    <mergeCell ref="AE128:AF128"/>
    <mergeCell ref="U128:V128"/>
    <mergeCell ref="W128:X128"/>
    <mergeCell ref="B128:E128"/>
    <mergeCell ref="AL128:AM128"/>
    <mergeCell ref="K127:L127"/>
    <mergeCell ref="M127:N127"/>
    <mergeCell ref="B168:E168"/>
    <mergeCell ref="F155:I155"/>
    <mergeCell ref="J153:M153"/>
    <mergeCell ref="AG129:AH129"/>
    <mergeCell ref="B142:G142"/>
    <mergeCell ref="B129:E129"/>
    <mergeCell ref="H142:AS142"/>
    <mergeCell ref="F167:I167"/>
  </mergeCells>
  <phoneticPr fontId="2" type="noConversion"/>
  <conditionalFormatting sqref="E60">
    <cfRule type="expression" dxfId="1" priority="1">
      <formula>$E$60&lt;&gt;""</formula>
    </cfRule>
  </conditionalFormatting>
  <dataValidations xWindow="138" yWindow="562" count="4">
    <dataValidation type="whole" allowBlank="1" showInputMessage="1" showErrorMessage="1" error="De minimumwaarde voor deze cel bedraagt 1! Laat de cel blanco indien er geen AN zijn." prompt="Vul het TOTAAL aantal anderstalige nieuwkomers in voor de betrokken school op de hierboven aangeduide datum. De berekening  gebeurt slechts na het invullen van de berekeningsdatum." sqref="F87:G128" xr:uid="{00000000-0002-0000-0000-000000000000}">
      <formula1>1</formula1>
      <formula2>999</formula2>
    </dataValidation>
    <dataValidation type="whole" allowBlank="1" showInputMessage="1" showErrorMessage="1" error="De minimumwaarde voor deze cel bedraagt 1! Laat de cel blanco indien er geen AN zijn." prompt="Vul het TOTAAL aantal anderstalige nieuwkomers in voor de betrokken school op de hierboven aangeduide datum. De berekening in + of - gebeurt slechts na het invullen van de berekeningsdatum." sqref="P87:Q128 K87:L128 AO87:AP128 AJ87:AK128 AE87:AF128 Z87:AA128 U87:V128 AT87:AU128 AY87:AZ128 BD87:BE128 BI87:BJ128 BN87:BO128 BS87:BT128" xr:uid="{00000000-0002-0000-0000-000001000000}">
      <formula1>1</formula1>
      <formula2>999</formula2>
    </dataValidation>
    <dataValidation type="date" allowBlank="1" showInputMessage="1" showErrorMessage="1" error="De ingevulde datum valt niet in het betrokken schooljaar!" sqref="B73:G73" xr:uid="{00000000-0002-0000-0000-000003000000}">
      <formula1>41883</formula1>
      <formula2>42247</formula2>
    </dataValidation>
    <dataValidation type="list" allowBlank="1" showInputMessage="1" showErrorMessage="1" error="Vul enkel de hoofdletter X of de kleine letter x in." prompt="Klik op het pijltje naast de cel en klik daarna op de letter X." sqref="C51:D51 C54:D54 C56:D56 C58:D58" xr:uid="{78C2D29A-1F95-427F-9B07-ADBFA18E4907}">
      <formula1>"X"</formula1>
    </dataValidation>
  </dataValidations>
  <hyperlinks>
    <hyperlink ref="B19:AS19" r:id="rId1" display="Meer informatie over de manier waarop u dit formulier moet invullen en de meest recente versie van dit formulier vindt u in de omzendbrief BaO/2006/03 van 30 juni 2006 over onthaalonderwijs voor anderstalige nieuwkomers. " xr:uid="{823ED196-497E-421B-950F-7F7AECC05476}"/>
  </hyperlinks>
  <pageMargins left="7.874015748031496E-2" right="0" top="0" bottom="0" header="0.51181102362204722" footer="0"/>
  <pageSetup paperSize="9" scale="72" fitToWidth="0" fitToHeight="0" orientation="landscape" useFirstPageNumber="1" horizontalDpi="300" verticalDpi="300" r:id="rId2"/>
  <headerFooter differentFirst="1" alignWithMargins="0">
    <oddFooter xml:space="preserve">&amp;L&amp;"Calibri,Standaard"Aanvraag van aanvullende lestijden in onthaalonderwijs voor anderstalige nieuwkomers en gewezen anderstalige nieuwkomers - per scholengemeenschap geteld - schooljaar 2023-2024 - pagina &amp;P van &amp;N&amp;R </oddFooter>
    <firstFooter>&amp;L&amp;G</firstFooter>
  </headerFooter>
  <rowBreaks count="3" manualBreakCount="3">
    <brk id="72" max="74" man="1"/>
    <brk id="129" max="74" man="1"/>
    <brk id="194" max="74" man="1"/>
  </rowBreaks>
  <legacyDrawing r:id="rId3"/>
  <legacyDrawingHF r:id="rId4"/>
  <extLst>
    <ext xmlns:x14="http://schemas.microsoft.com/office/spreadsheetml/2009/9/main" uri="{CCE6A557-97BC-4b89-ADB6-D9C93CAAB3DF}">
      <x14:dataValidations xmlns:xm="http://schemas.microsoft.com/office/excel/2006/main" xWindow="138" yWindow="562" count="17">
        <x14:dataValidation type="date" allowBlank="1" showInputMessage="1" showErrorMessage="1" error="De datum valt niet in het betrokken schooljaar!" xr:uid="{00000000-0002-0000-0000-000004000000}">
          <x14:formula1>
            <xm:f>Blad2!B20</xm:f>
          </x14:formula1>
          <x14:formula2>
            <xm:f>Blad2!B21</xm:f>
          </x14:formula2>
          <xm:sqref>BS85:BV85</xm:sqref>
        </x14:dataValidation>
        <x14:dataValidation type="date" allowBlank="1" showInputMessage="1" showErrorMessage="1" error="De ingevulde datum valt niet in het betrokken schooljaar!" xr:uid="{00000000-0002-0000-0000-000005000000}">
          <x14:formula1>
            <xm:f>Blad2!B20</xm:f>
          </x14:formula1>
          <x14:formula2>
            <xm:f>Blad2!B21</xm:f>
          </x14:formula2>
          <xm:sqref>B142:G142</xm:sqref>
        </x14:dataValidation>
        <x14:dataValidation type="date" allowBlank="1" showInputMessage="1" showErrorMessage="1" error="De ingevulde datum valt niet in het betrokken schooljaar!" xr:uid="{7DF78EA3-5367-4DE2-92F1-17C3C0EEC51C}">
          <x14:formula1>
            <xm:f>Blad2!B20</xm:f>
          </x14:formula1>
          <x14:formula2>
            <xm:f>Blad2!B21</xm:f>
          </x14:formula2>
          <xm:sqref>B66:G66</xm:sqref>
        </x14:dataValidation>
        <x14:dataValidation type="date" allowBlank="1" showInputMessage="1" showErrorMessage="1" error="De ingevulde datum valt niet in het betrokken schooljaar!" xr:uid="{FCEF72D1-574F-40F2-8EC9-F1152E597345}">
          <x14:formula1>
            <xm:f>Blad2!B20</xm:f>
          </x14:formula1>
          <x14:formula2>
            <xm:f>Blad2!B21</xm:f>
          </x14:formula2>
          <xm:sqref>B72:G72</xm:sqref>
        </x14:dataValidation>
        <x14:dataValidation type="date" allowBlank="1" showInputMessage="1" showErrorMessage="1" error="De datum valt niet in het betrokken schooljaar!" xr:uid="{2F5EB252-7BFF-4114-B6CA-FDBA29367D52}">
          <x14:formula1>
            <xm:f>Blad2!B20</xm:f>
          </x14:formula1>
          <x14:formula2>
            <xm:f>Blad2!B21</xm:f>
          </x14:formula2>
          <xm:sqref>F85:I85</xm:sqref>
        </x14:dataValidation>
        <x14:dataValidation type="date" allowBlank="1" showInputMessage="1" showErrorMessage="1" error="De datum valt niet in het betrokken schooljaar!" xr:uid="{E719B1D5-8315-4034-89E5-F878807DA9F8}">
          <x14:formula1>
            <xm:f>Blad2!B20</xm:f>
          </x14:formula1>
          <x14:formula2>
            <xm:f>Blad2!B21</xm:f>
          </x14:formula2>
          <xm:sqref>K85:N85</xm:sqref>
        </x14:dataValidation>
        <x14:dataValidation type="date" allowBlank="1" showInputMessage="1" showErrorMessage="1" error="De datum valt niet in het betrokken schooljaar!" xr:uid="{9641F018-4781-4C5E-A6BD-38906C4A29F8}">
          <x14:formula1>
            <xm:f>Blad2!B20</xm:f>
          </x14:formula1>
          <x14:formula2>
            <xm:f>Blad2!B21</xm:f>
          </x14:formula2>
          <xm:sqref>P85:S85</xm:sqref>
        </x14:dataValidation>
        <x14:dataValidation type="date" allowBlank="1" showInputMessage="1" showErrorMessage="1" error="De datum valt niet in het betrokken schooljaar!" xr:uid="{AFD12484-3980-44EA-AA26-3AA822A26A04}">
          <x14:formula1>
            <xm:f>Blad2!B20</xm:f>
          </x14:formula1>
          <x14:formula2>
            <xm:f>Blad2!B21</xm:f>
          </x14:formula2>
          <xm:sqref>U85:X85</xm:sqref>
        </x14:dataValidation>
        <x14:dataValidation type="date" allowBlank="1" showInputMessage="1" showErrorMessage="1" error="De datum valt niet in het betrokken schooljaar!" xr:uid="{67404904-44CA-4A83-AFCF-9D53DEF9AC03}">
          <x14:formula1>
            <xm:f>Blad2!B20</xm:f>
          </x14:formula1>
          <x14:formula2>
            <xm:f>Blad2!B21</xm:f>
          </x14:formula2>
          <xm:sqref>Z85:AC85</xm:sqref>
        </x14:dataValidation>
        <x14:dataValidation type="date" allowBlank="1" showInputMessage="1" showErrorMessage="1" error="De datum valt niet in het betrokken schooljaar!" xr:uid="{92D98F33-D7D0-424B-A176-EBC7305E3E2C}">
          <x14:formula1>
            <xm:f>Blad2!B20</xm:f>
          </x14:formula1>
          <x14:formula2>
            <xm:f>Blad2!B21</xm:f>
          </x14:formula2>
          <xm:sqref>AE85:AH85</xm:sqref>
        </x14:dataValidation>
        <x14:dataValidation type="date" allowBlank="1" showInputMessage="1" showErrorMessage="1" error="De datum valt niet in het betrokken schooljaar!" xr:uid="{E3890E4F-E3D8-4702-A0F4-68BE8BBA62F7}">
          <x14:formula1>
            <xm:f>Blad2!B20</xm:f>
          </x14:formula1>
          <x14:formula2>
            <xm:f>Blad2!B21</xm:f>
          </x14:formula2>
          <xm:sqref>AJ85:AM85</xm:sqref>
        </x14:dataValidation>
        <x14:dataValidation type="date" allowBlank="1" showInputMessage="1" showErrorMessage="1" error="De datum valt niet in het betrokken schooljaar!" xr:uid="{DB733496-78F9-42C0-AF98-EE4483C46FB3}">
          <x14:formula1>
            <xm:f>Blad2!B20</xm:f>
          </x14:formula1>
          <x14:formula2>
            <xm:f>Blad2!B21</xm:f>
          </x14:formula2>
          <xm:sqref>AO85:AR85</xm:sqref>
        </x14:dataValidation>
        <x14:dataValidation type="date" allowBlank="1" showInputMessage="1" showErrorMessage="1" error="De datum valt niet in het betrokken schooljaar!" xr:uid="{02F75B0B-ECE1-4F30-825A-661C2ECFDA89}">
          <x14:formula1>
            <xm:f>Blad2!B20</xm:f>
          </x14:formula1>
          <x14:formula2>
            <xm:f>Blad2!B21</xm:f>
          </x14:formula2>
          <xm:sqref>AT85:AW85</xm:sqref>
        </x14:dataValidation>
        <x14:dataValidation type="date" allowBlank="1" showInputMessage="1" showErrorMessage="1" error="De datum valt niet in het betrokken schooljaar!" xr:uid="{F8BB46D8-8B91-4ECF-B989-EAD266C48077}">
          <x14:formula1>
            <xm:f>Blad2!B20</xm:f>
          </x14:formula1>
          <x14:formula2>
            <xm:f>Blad2!B21</xm:f>
          </x14:formula2>
          <xm:sqref>AY85:BB85</xm:sqref>
        </x14:dataValidation>
        <x14:dataValidation type="date" allowBlank="1" showInputMessage="1" showErrorMessage="1" error="De datum valt niet in het betrokken schooljaar!" xr:uid="{58547B21-02E7-4DC7-A5A1-31598CB3ED1A}">
          <x14:formula1>
            <xm:f>Blad2!B20</xm:f>
          </x14:formula1>
          <x14:formula2>
            <xm:f>Blad2!B21</xm:f>
          </x14:formula2>
          <xm:sqref>BD85:BG85</xm:sqref>
        </x14:dataValidation>
        <x14:dataValidation type="date" allowBlank="1" showInputMessage="1" showErrorMessage="1" error="De datum valt niet in het betrokken schooljaar!" xr:uid="{A743D670-2805-401D-9544-5F5A90F529BE}">
          <x14:formula1>
            <xm:f>Blad2!B20</xm:f>
          </x14:formula1>
          <x14:formula2>
            <xm:f>Blad2!B21</xm:f>
          </x14:formula2>
          <xm:sqref>BI85:BL85</xm:sqref>
        </x14:dataValidation>
        <x14:dataValidation type="date" allowBlank="1" showInputMessage="1" showErrorMessage="1" error="De datum valt niet in het betrokken schooljaar!" xr:uid="{B17D0DB6-C161-49A5-A763-833421979AD2}">
          <x14:formula1>
            <xm:f>Blad2!B20</xm:f>
          </x14:formula1>
          <x14:formula2>
            <xm:f>Blad2!B21</xm:f>
          </x14:formula2>
          <xm:sqref>BN85:BQ85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workbookViewId="0">
      <selection activeCell="A26" sqref="A26"/>
    </sheetView>
  </sheetViews>
  <sheetFormatPr defaultRowHeight="13.2" x14ac:dyDescent="0.25"/>
  <cols>
    <col min="1" max="1" width="18.88671875" bestFit="1" customWidth="1"/>
    <col min="2" max="2" width="10.109375" bestFit="1" customWidth="1"/>
    <col min="3" max="3" width="18.88671875" bestFit="1" customWidth="1"/>
    <col min="4" max="4" width="10.109375" bestFit="1" customWidth="1"/>
    <col min="5" max="5" width="10.109375" style="2" bestFit="1" customWidth="1"/>
    <col min="6" max="7" width="10.109375" bestFit="1" customWidth="1"/>
  </cols>
  <sheetData>
    <row r="1" spans="1:7" x14ac:dyDescent="0.25">
      <c r="A1" s="1" t="s">
        <v>41</v>
      </c>
      <c r="B1" s="2">
        <v>41136</v>
      </c>
      <c r="C1" s="1" t="s">
        <v>42</v>
      </c>
      <c r="F1" s="3"/>
    </row>
    <row r="2" spans="1:7" x14ac:dyDescent="0.25">
      <c r="A2" s="1" t="s">
        <v>42</v>
      </c>
      <c r="B2" s="2">
        <v>41501</v>
      </c>
      <c r="C2" s="1" t="s">
        <v>70</v>
      </c>
      <c r="D2" s="3"/>
    </row>
    <row r="3" spans="1:7" x14ac:dyDescent="0.25">
      <c r="A3" s="1" t="s">
        <v>70</v>
      </c>
      <c r="B3">
        <v>41866</v>
      </c>
      <c r="C3" s="1" t="s">
        <v>43</v>
      </c>
    </row>
    <row r="4" spans="1:7" x14ac:dyDescent="0.25">
      <c r="A4" s="1" t="s">
        <v>43</v>
      </c>
      <c r="B4">
        <v>42231</v>
      </c>
      <c r="C4" s="1" t="s">
        <v>44</v>
      </c>
    </row>
    <row r="5" spans="1:7" x14ac:dyDescent="0.25">
      <c r="A5" s="1" t="s">
        <v>44</v>
      </c>
      <c r="B5">
        <v>42597</v>
      </c>
      <c r="C5" s="1" t="s">
        <v>45</v>
      </c>
    </row>
    <row r="6" spans="1:7" x14ac:dyDescent="0.25">
      <c r="A6" s="1" t="s">
        <v>45</v>
      </c>
      <c r="B6" s="2">
        <f>D6</f>
        <v>42962</v>
      </c>
      <c r="C6" s="1" t="s">
        <v>46</v>
      </c>
      <c r="D6" s="3">
        <v>42962</v>
      </c>
    </row>
    <row r="7" spans="1:7" x14ac:dyDescent="0.25">
      <c r="A7" s="1" t="s">
        <v>46</v>
      </c>
      <c r="B7" s="2">
        <f t="shared" ref="B7:B17" si="0">D7</f>
        <v>43327</v>
      </c>
      <c r="C7" s="1" t="s">
        <v>235</v>
      </c>
      <c r="D7" s="3">
        <v>43327</v>
      </c>
    </row>
    <row r="8" spans="1:7" x14ac:dyDescent="0.25">
      <c r="A8" s="1" t="s">
        <v>235</v>
      </c>
      <c r="B8" s="2">
        <f t="shared" si="0"/>
        <v>43692</v>
      </c>
      <c r="C8" s="1" t="s">
        <v>236</v>
      </c>
      <c r="D8" s="3">
        <v>43692</v>
      </c>
    </row>
    <row r="9" spans="1:7" x14ac:dyDescent="0.25">
      <c r="A9" s="1" t="s">
        <v>236</v>
      </c>
      <c r="B9" s="2">
        <f t="shared" si="0"/>
        <v>44058</v>
      </c>
      <c r="C9" s="1" t="s">
        <v>237</v>
      </c>
      <c r="D9" s="3">
        <v>44058</v>
      </c>
    </row>
    <row r="10" spans="1:7" x14ac:dyDescent="0.25">
      <c r="A10" s="1" t="s">
        <v>237</v>
      </c>
      <c r="B10" s="2">
        <f t="shared" si="0"/>
        <v>44423</v>
      </c>
      <c r="C10" s="1" t="s">
        <v>238</v>
      </c>
      <c r="D10" s="3">
        <v>44423</v>
      </c>
    </row>
    <row r="11" spans="1:7" x14ac:dyDescent="0.25">
      <c r="A11" s="1" t="s">
        <v>238</v>
      </c>
      <c r="B11" s="2">
        <f t="shared" si="0"/>
        <v>44788</v>
      </c>
      <c r="C11" s="1" t="s">
        <v>239</v>
      </c>
      <c r="D11" s="3">
        <v>44788</v>
      </c>
      <c r="E11" s="2">
        <v>2021</v>
      </c>
    </row>
    <row r="12" spans="1:7" x14ac:dyDescent="0.25">
      <c r="A12" s="142" t="s">
        <v>239</v>
      </c>
      <c r="B12" s="143">
        <f t="shared" si="0"/>
        <v>45153</v>
      </c>
      <c r="C12" s="142" t="s">
        <v>240</v>
      </c>
      <c r="D12" s="144">
        <v>45153</v>
      </c>
      <c r="E12" s="102">
        <v>2022</v>
      </c>
      <c r="F12" s="102">
        <v>44849</v>
      </c>
      <c r="G12" s="145">
        <f>F12</f>
        <v>44849</v>
      </c>
    </row>
    <row r="13" spans="1:7" x14ac:dyDescent="0.25">
      <c r="A13" s="142" t="s">
        <v>240</v>
      </c>
      <c r="B13" s="143">
        <f t="shared" si="0"/>
        <v>45519</v>
      </c>
      <c r="C13" s="142" t="s">
        <v>408</v>
      </c>
      <c r="D13" s="144">
        <v>45519</v>
      </c>
      <c r="E13" s="102">
        <v>2023</v>
      </c>
      <c r="F13" s="102">
        <f>F12+365</f>
        <v>45214</v>
      </c>
      <c r="G13" s="145">
        <f t="shared" ref="G13:G17" si="1">F13</f>
        <v>45214</v>
      </c>
    </row>
    <row r="14" spans="1:7" x14ac:dyDescent="0.25">
      <c r="A14" s="142" t="s">
        <v>408</v>
      </c>
      <c r="B14" s="143">
        <f t="shared" si="0"/>
        <v>45884</v>
      </c>
      <c r="C14" s="142" t="s">
        <v>409</v>
      </c>
      <c r="D14" s="144">
        <v>45884</v>
      </c>
      <c r="E14" s="102">
        <v>2024</v>
      </c>
      <c r="F14" s="102">
        <f>F13+366</f>
        <v>45580</v>
      </c>
      <c r="G14" s="145">
        <f t="shared" si="1"/>
        <v>45580</v>
      </c>
    </row>
    <row r="15" spans="1:7" x14ac:dyDescent="0.25">
      <c r="A15" s="142" t="s">
        <v>409</v>
      </c>
      <c r="B15" s="143">
        <f t="shared" si="0"/>
        <v>46249</v>
      </c>
      <c r="C15" s="142" t="s">
        <v>410</v>
      </c>
      <c r="D15" s="144">
        <v>46249</v>
      </c>
      <c r="E15" s="102">
        <v>2025</v>
      </c>
      <c r="F15" s="102">
        <f t="shared" ref="F15:F17" si="2">F14+365</f>
        <v>45945</v>
      </c>
      <c r="G15" s="145">
        <f t="shared" si="1"/>
        <v>45945</v>
      </c>
    </row>
    <row r="16" spans="1:7" x14ac:dyDescent="0.25">
      <c r="A16" s="142" t="s">
        <v>410</v>
      </c>
      <c r="B16" s="143">
        <f t="shared" si="0"/>
        <v>46614</v>
      </c>
      <c r="C16" s="142" t="s">
        <v>1606</v>
      </c>
      <c r="D16" s="144">
        <v>46614</v>
      </c>
      <c r="E16" s="102">
        <v>2026</v>
      </c>
      <c r="F16" s="102">
        <f t="shared" si="2"/>
        <v>46310</v>
      </c>
      <c r="G16" s="145">
        <f t="shared" si="1"/>
        <v>46310</v>
      </c>
    </row>
    <row r="17" spans="1:8" x14ac:dyDescent="0.25">
      <c r="A17" s="142" t="s">
        <v>1606</v>
      </c>
      <c r="B17" s="143">
        <f t="shared" si="0"/>
        <v>46980</v>
      </c>
      <c r="C17" s="142" t="s">
        <v>1607</v>
      </c>
      <c r="D17" s="144">
        <v>46980</v>
      </c>
      <c r="E17" s="102">
        <v>2027</v>
      </c>
      <c r="F17" s="102">
        <f t="shared" si="2"/>
        <v>46675</v>
      </c>
      <c r="G17" s="145">
        <f t="shared" si="1"/>
        <v>46675</v>
      </c>
    </row>
    <row r="20" spans="1:8" x14ac:dyDescent="0.25">
      <c r="A20" t="s">
        <v>1604</v>
      </c>
      <c r="B20" s="141">
        <v>45170</v>
      </c>
    </row>
    <row r="21" spans="1:8" x14ac:dyDescent="0.25">
      <c r="A21" t="s">
        <v>1605</v>
      </c>
      <c r="B21" s="141">
        <v>45535</v>
      </c>
      <c r="H21" s="1"/>
    </row>
    <row r="23" spans="1:8" x14ac:dyDescent="0.25">
      <c r="A23" s="285" t="s">
        <v>240</v>
      </c>
      <c r="B23" s="285"/>
    </row>
    <row r="33" spans="9:10" x14ac:dyDescent="0.25">
      <c r="I33" s="3"/>
      <c r="J33" s="2"/>
    </row>
  </sheetData>
  <sheetProtection algorithmName="SHA-512" hashValue="zOhnj2vWnqlIfM5Bam/+QPkMO/2njzWRXurMmSo0K+2kyaS4Ht3ILHX/URDjlabCTJqpJxrZ+BIjXFO8wQMrZg==" saltValue="NKKG0VQZKUM9Ebi9/FbOwQ==" spinCount="100000" sheet="1" objects="1" scenarios="1"/>
  <mergeCells count="1">
    <mergeCell ref="A23:B23"/>
  </mergeCells>
  <phoneticPr fontId="6" type="noConversion"/>
  <dataValidations count="1">
    <dataValidation type="list" allowBlank="1" showInputMessage="1" showErrorMessage="1" prompt="Klik op het pijltje naast de cel en vul het juiste schooljaar in." sqref="A23:B23" xr:uid="{ADE43884-92A1-4F78-9FD2-E08FE659537E}">
      <formula1>$A$12:$A$17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328"/>
  <sheetViews>
    <sheetView workbookViewId="0">
      <pane xSplit="1" ySplit="1" topLeftCell="B2" activePane="bottomRight" state="frozen"/>
      <selection activeCell="Q28" sqref="Q28:T28"/>
      <selection pane="topRight" activeCell="Q28" sqref="Q28:T28"/>
      <selection pane="bottomLeft" activeCell="Q28" sqref="Q28:T28"/>
      <selection pane="bottomRight" activeCell="B2" sqref="B2"/>
    </sheetView>
  </sheetViews>
  <sheetFormatPr defaultRowHeight="13.2" x14ac:dyDescent="0.25"/>
  <cols>
    <col min="1" max="1" width="11" bestFit="1" customWidth="1"/>
    <col min="2" max="2" width="75.33203125" bestFit="1" customWidth="1"/>
    <col min="3" max="3" width="20.33203125" bestFit="1" customWidth="1"/>
    <col min="4" max="4" width="40.44140625" bestFit="1" customWidth="1"/>
    <col min="5" max="5" width="35.109375" bestFit="1" customWidth="1"/>
    <col min="6" max="6" width="17" bestFit="1" customWidth="1"/>
    <col min="7" max="7" width="26.109375" bestFit="1" customWidth="1"/>
    <col min="8" max="8" width="15.109375" bestFit="1" customWidth="1"/>
    <col min="9" max="9" width="20.5546875" bestFit="1" customWidth="1"/>
    <col min="10" max="10" width="16.44140625" bestFit="1" customWidth="1"/>
    <col min="11" max="11" width="37.33203125" bestFit="1" customWidth="1"/>
    <col min="12" max="20" width="7" bestFit="1" customWidth="1"/>
    <col min="21" max="52" width="7.5546875" bestFit="1" customWidth="1"/>
  </cols>
  <sheetData>
    <row r="1" spans="1:52" ht="14.4" x14ac:dyDescent="0.3">
      <c r="A1" s="97" t="s">
        <v>253</v>
      </c>
      <c r="B1" s="97" t="s">
        <v>254</v>
      </c>
      <c r="C1" s="97" t="s">
        <v>255</v>
      </c>
      <c r="D1" s="97" t="s">
        <v>256</v>
      </c>
      <c r="E1" s="97" t="s">
        <v>257</v>
      </c>
      <c r="F1" s="97" t="s">
        <v>258</v>
      </c>
      <c r="G1" s="97" t="s">
        <v>259</v>
      </c>
      <c r="H1" s="97" t="s">
        <v>1223</v>
      </c>
      <c r="I1" s="97" t="s">
        <v>260</v>
      </c>
      <c r="J1" s="97" t="s">
        <v>413</v>
      </c>
      <c r="K1" s="97" t="s">
        <v>261</v>
      </c>
      <c r="L1" s="97" t="s">
        <v>8</v>
      </c>
      <c r="M1" s="97" t="s">
        <v>9</v>
      </c>
      <c r="N1" s="97" t="s">
        <v>10</v>
      </c>
      <c r="O1" s="97" t="s">
        <v>11</v>
      </c>
      <c r="P1" s="97" t="s">
        <v>12</v>
      </c>
      <c r="Q1" s="97" t="s">
        <v>13</v>
      </c>
      <c r="R1" s="97" t="s">
        <v>14</v>
      </c>
      <c r="S1" s="97" t="s">
        <v>15</v>
      </c>
      <c r="T1" s="97" t="s">
        <v>16</v>
      </c>
      <c r="U1" s="97" t="s">
        <v>17</v>
      </c>
      <c r="V1" s="97" t="s">
        <v>18</v>
      </c>
      <c r="W1" s="97" t="s">
        <v>19</v>
      </c>
      <c r="X1" s="97" t="s">
        <v>20</v>
      </c>
      <c r="Y1" s="97" t="s">
        <v>21</v>
      </c>
      <c r="Z1" s="97" t="s">
        <v>22</v>
      </c>
      <c r="AA1" s="97" t="s">
        <v>23</v>
      </c>
      <c r="AB1" s="97" t="s">
        <v>24</v>
      </c>
      <c r="AC1" s="97" t="s">
        <v>25</v>
      </c>
      <c r="AD1" s="97" t="s">
        <v>26</v>
      </c>
      <c r="AE1" s="97" t="s">
        <v>27</v>
      </c>
      <c r="AF1" s="97" t="s">
        <v>28</v>
      </c>
      <c r="AG1" s="97" t="s">
        <v>29</v>
      </c>
      <c r="AH1" s="97" t="s">
        <v>30</v>
      </c>
      <c r="AI1" s="97" t="s">
        <v>31</v>
      </c>
      <c r="AJ1" s="97" t="s">
        <v>32</v>
      </c>
      <c r="AK1" s="97" t="s">
        <v>33</v>
      </c>
      <c r="AL1" s="97" t="s">
        <v>34</v>
      </c>
      <c r="AM1" s="97" t="s">
        <v>35</v>
      </c>
      <c r="AN1" s="97" t="s">
        <v>36</v>
      </c>
      <c r="AO1" s="97" t="s">
        <v>37</v>
      </c>
      <c r="AP1" s="97" t="s">
        <v>38</v>
      </c>
      <c r="AQ1" s="97" t="s">
        <v>244</v>
      </c>
      <c r="AR1" s="97" t="s">
        <v>245</v>
      </c>
      <c r="AS1" s="97" t="s">
        <v>246</v>
      </c>
      <c r="AT1" s="97" t="s">
        <v>247</v>
      </c>
      <c r="AU1" s="97" t="s">
        <v>262</v>
      </c>
      <c r="AV1" s="97"/>
      <c r="AW1" s="97"/>
      <c r="AX1" s="97"/>
      <c r="AY1" s="97"/>
      <c r="AZ1" s="97"/>
    </row>
    <row r="2" spans="1:52" ht="14.4" x14ac:dyDescent="0.3">
      <c r="A2" s="98">
        <v>118745</v>
      </c>
      <c r="B2" s="99" t="s">
        <v>80</v>
      </c>
      <c r="C2" s="98">
        <v>19811</v>
      </c>
      <c r="D2" s="99" t="s">
        <v>1537</v>
      </c>
      <c r="E2" s="99" t="s">
        <v>1043</v>
      </c>
      <c r="F2" s="99">
        <v>8780</v>
      </c>
      <c r="G2" s="99" t="s">
        <v>1044</v>
      </c>
      <c r="H2" s="99" t="s">
        <v>1224</v>
      </c>
      <c r="I2" s="99" t="s">
        <v>1617</v>
      </c>
      <c r="J2" s="99" t="s">
        <v>1618</v>
      </c>
      <c r="K2" s="99" t="s">
        <v>1619</v>
      </c>
      <c r="L2" s="98">
        <v>19729</v>
      </c>
      <c r="M2" s="98">
        <v>19811</v>
      </c>
      <c r="N2" s="98">
        <v>19828</v>
      </c>
      <c r="O2" s="98">
        <v>19836</v>
      </c>
      <c r="P2" s="98">
        <v>19935</v>
      </c>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14.4" x14ac:dyDescent="0.3">
      <c r="A3" s="98">
        <v>118752</v>
      </c>
      <c r="B3" s="99" t="s">
        <v>211</v>
      </c>
      <c r="C3" s="98">
        <v>123075</v>
      </c>
      <c r="D3" s="99" t="s">
        <v>927</v>
      </c>
      <c r="E3" s="99" t="s">
        <v>1206</v>
      </c>
      <c r="F3" s="99">
        <v>3910</v>
      </c>
      <c r="G3" s="99" t="s">
        <v>1207</v>
      </c>
      <c r="H3" s="99" t="s">
        <v>1225</v>
      </c>
      <c r="I3" s="99" t="s">
        <v>1620</v>
      </c>
      <c r="J3" s="99" t="s">
        <v>1621</v>
      </c>
      <c r="K3" s="99" t="s">
        <v>1622</v>
      </c>
      <c r="L3" s="98">
        <v>14431</v>
      </c>
      <c r="M3" s="98">
        <v>14449</v>
      </c>
      <c r="N3" s="98">
        <v>14456</v>
      </c>
      <c r="O3" s="98">
        <v>123075</v>
      </c>
      <c r="P3" s="98">
        <v>129973</v>
      </c>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4.4" x14ac:dyDescent="0.3">
      <c r="A4" s="98">
        <v>118761</v>
      </c>
      <c r="B4" s="99" t="s">
        <v>212</v>
      </c>
      <c r="C4" s="98">
        <v>117713</v>
      </c>
      <c r="D4" s="99" t="s">
        <v>928</v>
      </c>
      <c r="E4" s="99" t="s">
        <v>1200</v>
      </c>
      <c r="F4" s="99">
        <v>3930</v>
      </c>
      <c r="G4" s="99" t="s">
        <v>518</v>
      </c>
      <c r="H4" s="99" t="s">
        <v>1226</v>
      </c>
      <c r="I4" s="99" t="s">
        <v>1620</v>
      </c>
      <c r="J4" s="99" t="s">
        <v>1621</v>
      </c>
      <c r="K4" s="99" t="s">
        <v>1622</v>
      </c>
      <c r="L4" s="98">
        <v>14464</v>
      </c>
      <c r="M4" s="98">
        <v>14555</v>
      </c>
      <c r="N4" s="98">
        <v>14571</v>
      </c>
      <c r="O4" s="98">
        <v>117713</v>
      </c>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4.4" x14ac:dyDescent="0.3">
      <c r="A5" s="98">
        <v>118778</v>
      </c>
      <c r="B5" s="99" t="s">
        <v>263</v>
      </c>
      <c r="C5" s="98">
        <v>16667</v>
      </c>
      <c r="D5" s="99" t="s">
        <v>966</v>
      </c>
      <c r="E5" s="99" t="s">
        <v>967</v>
      </c>
      <c r="F5" s="99">
        <v>3970</v>
      </c>
      <c r="G5" s="99" t="s">
        <v>529</v>
      </c>
      <c r="H5" s="99" t="s">
        <v>1227</v>
      </c>
      <c r="I5" s="99" t="s">
        <v>1620</v>
      </c>
      <c r="J5" s="99" t="s">
        <v>1621</v>
      </c>
      <c r="K5" s="99" t="s">
        <v>1622</v>
      </c>
      <c r="L5" s="98">
        <v>16667</v>
      </c>
      <c r="M5" s="98">
        <v>16675</v>
      </c>
      <c r="N5" s="98">
        <v>48355</v>
      </c>
      <c r="O5" s="98"/>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ht="14.4" x14ac:dyDescent="0.3">
      <c r="A6" s="98">
        <v>118786</v>
      </c>
      <c r="B6" s="99" t="s">
        <v>213</v>
      </c>
      <c r="C6" s="98">
        <v>14911</v>
      </c>
      <c r="D6" s="99" t="s">
        <v>659</v>
      </c>
      <c r="E6" s="99" t="s">
        <v>936</v>
      </c>
      <c r="F6" s="99">
        <v>3590</v>
      </c>
      <c r="G6" s="99" t="s">
        <v>937</v>
      </c>
      <c r="H6" s="99" t="s">
        <v>1228</v>
      </c>
      <c r="I6" s="99" t="s">
        <v>1620</v>
      </c>
      <c r="J6" s="99" t="s">
        <v>1621</v>
      </c>
      <c r="K6" s="99" t="s">
        <v>1622</v>
      </c>
      <c r="L6" s="98">
        <v>14911</v>
      </c>
      <c r="M6" s="98">
        <v>15602</v>
      </c>
      <c r="N6" s="98">
        <v>15628</v>
      </c>
      <c r="O6" s="98">
        <v>16063</v>
      </c>
      <c r="P6" s="98">
        <v>16139</v>
      </c>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4.4" x14ac:dyDescent="0.3">
      <c r="A7" s="98">
        <v>118794</v>
      </c>
      <c r="B7" s="99" t="s">
        <v>81</v>
      </c>
      <c r="C7" s="98">
        <v>14902</v>
      </c>
      <c r="D7" s="99" t="s">
        <v>934</v>
      </c>
      <c r="E7" s="99" t="s">
        <v>935</v>
      </c>
      <c r="F7" s="99">
        <v>3690</v>
      </c>
      <c r="G7" s="99" t="s">
        <v>933</v>
      </c>
      <c r="H7" s="99" t="s">
        <v>1229</v>
      </c>
      <c r="I7" s="99" t="s">
        <v>1620</v>
      </c>
      <c r="J7" s="99" t="s">
        <v>1621</v>
      </c>
      <c r="K7" s="99" t="s">
        <v>1622</v>
      </c>
      <c r="L7" s="98">
        <v>14886</v>
      </c>
      <c r="M7" s="98">
        <v>14894</v>
      </c>
      <c r="N7" s="98">
        <v>14902</v>
      </c>
      <c r="O7" s="98">
        <v>15255</v>
      </c>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ht="14.4" x14ac:dyDescent="0.3">
      <c r="A8" s="98">
        <v>118802</v>
      </c>
      <c r="B8" s="99" t="s">
        <v>214</v>
      </c>
      <c r="C8" s="98">
        <v>104604</v>
      </c>
      <c r="D8" s="99" t="s">
        <v>1172</v>
      </c>
      <c r="E8" s="99" t="s">
        <v>1173</v>
      </c>
      <c r="F8" s="99">
        <v>3630</v>
      </c>
      <c r="G8" s="99" t="s">
        <v>522</v>
      </c>
      <c r="H8" s="99" t="s">
        <v>1538</v>
      </c>
      <c r="I8" s="99" t="s">
        <v>1620</v>
      </c>
      <c r="J8" s="99" t="s">
        <v>1621</v>
      </c>
      <c r="K8" s="99" t="s">
        <v>1622</v>
      </c>
      <c r="L8" s="98">
        <v>15073</v>
      </c>
      <c r="M8" s="98">
        <v>15115</v>
      </c>
      <c r="N8" s="98">
        <v>15123</v>
      </c>
      <c r="O8" s="98">
        <v>104604</v>
      </c>
      <c r="P8" s="98">
        <v>115592</v>
      </c>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ht="14.4" x14ac:dyDescent="0.3">
      <c r="A9" s="98">
        <v>118828</v>
      </c>
      <c r="B9" s="99" t="s">
        <v>82</v>
      </c>
      <c r="C9" s="98">
        <v>143743</v>
      </c>
      <c r="D9" s="99" t="s">
        <v>512</v>
      </c>
      <c r="E9" s="99" t="s">
        <v>513</v>
      </c>
      <c r="F9" s="99">
        <v>3940</v>
      </c>
      <c r="G9" s="99" t="s">
        <v>514</v>
      </c>
      <c r="H9" s="99" t="s">
        <v>1230</v>
      </c>
      <c r="I9" s="99" t="s">
        <v>1620</v>
      </c>
      <c r="J9" s="99" t="s">
        <v>1621</v>
      </c>
      <c r="K9" s="99" t="s">
        <v>1622</v>
      </c>
      <c r="L9" s="98">
        <v>1461</v>
      </c>
      <c r="M9" s="98">
        <v>1479</v>
      </c>
      <c r="N9" s="98">
        <v>1487</v>
      </c>
      <c r="O9" s="98">
        <v>1503</v>
      </c>
      <c r="P9" s="98">
        <v>1511</v>
      </c>
      <c r="Q9" s="98">
        <v>1529</v>
      </c>
      <c r="R9" s="98">
        <v>1883</v>
      </c>
      <c r="S9" s="98">
        <v>14514</v>
      </c>
      <c r="T9" s="98">
        <v>105882</v>
      </c>
      <c r="U9" s="98">
        <v>115576</v>
      </c>
      <c r="V9" s="98">
        <v>132274</v>
      </c>
      <c r="W9" s="98">
        <v>132291</v>
      </c>
      <c r="X9" s="98">
        <v>133421</v>
      </c>
      <c r="Y9" s="98">
        <v>138396</v>
      </c>
      <c r="Z9" s="100">
        <v>143743</v>
      </c>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ht="14.4" x14ac:dyDescent="0.3">
      <c r="A10" s="98">
        <v>118836</v>
      </c>
      <c r="B10" s="99" t="s">
        <v>264</v>
      </c>
      <c r="C10" s="98">
        <v>15453</v>
      </c>
      <c r="D10" s="99" t="s">
        <v>925</v>
      </c>
      <c r="E10" s="99" t="s">
        <v>950</v>
      </c>
      <c r="F10" s="99">
        <v>3670</v>
      </c>
      <c r="G10" s="99" t="s">
        <v>516</v>
      </c>
      <c r="H10" s="99" t="s">
        <v>1231</v>
      </c>
      <c r="I10" s="99" t="s">
        <v>1620</v>
      </c>
      <c r="J10" s="99" t="s">
        <v>1621</v>
      </c>
      <c r="K10" s="99" t="s">
        <v>1622</v>
      </c>
      <c r="L10" s="98">
        <v>14381</v>
      </c>
      <c r="M10" s="98">
        <v>14399</v>
      </c>
      <c r="N10" s="98">
        <v>14407</v>
      </c>
      <c r="O10" s="98">
        <v>14415</v>
      </c>
      <c r="P10" s="98">
        <v>15453</v>
      </c>
      <c r="Q10" s="98">
        <v>15461</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ht="14.4" x14ac:dyDescent="0.3">
      <c r="A11" s="98">
        <v>118869</v>
      </c>
      <c r="B11" s="99" t="s">
        <v>83</v>
      </c>
      <c r="C11" s="98">
        <v>14985</v>
      </c>
      <c r="D11" s="99" t="s">
        <v>939</v>
      </c>
      <c r="E11" s="99" t="s">
        <v>940</v>
      </c>
      <c r="F11" s="99">
        <v>3740</v>
      </c>
      <c r="G11" s="99" t="s">
        <v>527</v>
      </c>
      <c r="H11" s="99" t="s">
        <v>1232</v>
      </c>
      <c r="I11" s="99" t="s">
        <v>1620</v>
      </c>
      <c r="J11" s="99" t="s">
        <v>1621</v>
      </c>
      <c r="K11" s="99" t="s">
        <v>1622</v>
      </c>
      <c r="L11" s="98">
        <v>14985</v>
      </c>
      <c r="M11" s="98">
        <v>14993</v>
      </c>
      <c r="N11" s="98">
        <v>15644</v>
      </c>
      <c r="O11" s="98">
        <v>15651</v>
      </c>
      <c r="P11" s="98">
        <v>15685</v>
      </c>
      <c r="Q11" s="98">
        <v>15693</v>
      </c>
      <c r="R11" s="98">
        <v>15701</v>
      </c>
      <c r="S11" s="98">
        <v>15719</v>
      </c>
      <c r="T11" s="98">
        <v>15727</v>
      </c>
      <c r="U11" s="98">
        <v>15735</v>
      </c>
      <c r="V11" s="98">
        <v>15743</v>
      </c>
      <c r="W11" s="98"/>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ht="14.4" x14ac:dyDescent="0.3">
      <c r="A12" s="98">
        <v>118885</v>
      </c>
      <c r="B12" s="99" t="s">
        <v>84</v>
      </c>
      <c r="C12" s="98">
        <v>104513</v>
      </c>
      <c r="D12" s="99" t="s">
        <v>909</v>
      </c>
      <c r="E12" s="99" t="s">
        <v>912</v>
      </c>
      <c r="F12" s="99">
        <v>3500</v>
      </c>
      <c r="G12" s="99" t="s">
        <v>509</v>
      </c>
      <c r="H12" s="99" t="s">
        <v>1233</v>
      </c>
      <c r="I12" s="99" t="s">
        <v>1620</v>
      </c>
      <c r="J12" s="99" t="s">
        <v>1621</v>
      </c>
      <c r="K12" s="99" t="s">
        <v>1622</v>
      </c>
      <c r="L12" s="98">
        <v>13839</v>
      </c>
      <c r="M12" s="98">
        <v>13847</v>
      </c>
      <c r="N12" s="98">
        <v>13912</v>
      </c>
      <c r="O12" s="98">
        <v>13938</v>
      </c>
      <c r="P12" s="98">
        <v>55681</v>
      </c>
      <c r="Q12" s="98">
        <v>104513</v>
      </c>
      <c r="R12" s="98">
        <v>105932</v>
      </c>
      <c r="S12" s="98">
        <v>115659</v>
      </c>
      <c r="T12" s="98">
        <v>116061</v>
      </c>
      <c r="U12" s="98">
        <v>132043</v>
      </c>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ht="14.4" x14ac:dyDescent="0.3">
      <c r="A13" s="98">
        <v>118893</v>
      </c>
      <c r="B13" s="99" t="s">
        <v>265</v>
      </c>
      <c r="C13" s="98">
        <v>15859</v>
      </c>
      <c r="D13" s="99" t="s">
        <v>633</v>
      </c>
      <c r="E13" s="99" t="s">
        <v>958</v>
      </c>
      <c r="F13" s="99">
        <v>3770</v>
      </c>
      <c r="G13" s="99" t="s">
        <v>953</v>
      </c>
      <c r="H13" s="99" t="s">
        <v>1234</v>
      </c>
      <c r="I13" s="99" t="s">
        <v>1620</v>
      </c>
      <c r="J13" s="99" t="s">
        <v>1621</v>
      </c>
      <c r="K13" s="99" t="s">
        <v>1622</v>
      </c>
      <c r="L13" s="98">
        <v>15768</v>
      </c>
      <c r="M13" s="98">
        <v>15859</v>
      </c>
      <c r="N13" s="98">
        <v>15917</v>
      </c>
      <c r="O13" s="98">
        <v>15925</v>
      </c>
      <c r="P13" s="100">
        <v>144691</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ht="14.4" x14ac:dyDescent="0.3">
      <c r="A14" s="98">
        <v>118935</v>
      </c>
      <c r="B14" s="99" t="s">
        <v>266</v>
      </c>
      <c r="C14" s="98">
        <v>16592</v>
      </c>
      <c r="D14" s="99" t="s">
        <v>923</v>
      </c>
      <c r="E14" s="99" t="s">
        <v>964</v>
      </c>
      <c r="F14" s="99">
        <v>3580</v>
      </c>
      <c r="G14" s="99" t="s">
        <v>963</v>
      </c>
      <c r="H14" s="99" t="s">
        <v>1235</v>
      </c>
      <c r="I14" s="99" t="s">
        <v>1620</v>
      </c>
      <c r="J14" s="99" t="s">
        <v>1621</v>
      </c>
      <c r="K14" s="99" t="s">
        <v>1622</v>
      </c>
      <c r="L14" s="98">
        <v>14274</v>
      </c>
      <c r="M14" s="98">
        <v>14282</v>
      </c>
      <c r="N14" s="98">
        <v>16543</v>
      </c>
      <c r="O14" s="98">
        <v>16551</v>
      </c>
      <c r="P14" s="98">
        <v>16568</v>
      </c>
      <c r="Q14" s="98">
        <v>16576</v>
      </c>
      <c r="R14" s="98">
        <v>16584</v>
      </c>
      <c r="S14" s="98">
        <v>16592</v>
      </c>
      <c r="T14" s="100">
        <v>16601</v>
      </c>
      <c r="U14" s="100">
        <v>16618</v>
      </c>
      <c r="V14" s="100">
        <v>16626</v>
      </c>
      <c r="W14" s="100">
        <v>104431</v>
      </c>
      <c r="X14" s="100">
        <v>107656</v>
      </c>
      <c r="Y14" s="100">
        <v>126417</v>
      </c>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ht="14.4" x14ac:dyDescent="0.3">
      <c r="A15" s="98">
        <v>118951</v>
      </c>
      <c r="B15" s="99" t="s">
        <v>267</v>
      </c>
      <c r="C15" s="98">
        <v>107631</v>
      </c>
      <c r="D15" s="99" t="s">
        <v>941</v>
      </c>
      <c r="E15" s="99" t="s">
        <v>1145</v>
      </c>
      <c r="F15" s="99">
        <v>3630</v>
      </c>
      <c r="G15" s="99" t="s">
        <v>522</v>
      </c>
      <c r="H15" s="99" t="s">
        <v>1539</v>
      </c>
      <c r="I15" s="99" t="s">
        <v>1620</v>
      </c>
      <c r="J15" s="99" t="s">
        <v>1621</v>
      </c>
      <c r="K15" s="99" t="s">
        <v>1622</v>
      </c>
      <c r="L15" s="98">
        <v>15041</v>
      </c>
      <c r="M15" s="98">
        <v>104381</v>
      </c>
      <c r="N15" s="98">
        <v>107631</v>
      </c>
      <c r="O15" s="98">
        <v>112177</v>
      </c>
      <c r="P15" s="98"/>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ht="14.4" x14ac:dyDescent="0.3">
      <c r="A16" s="98">
        <v>118968</v>
      </c>
      <c r="B16" s="99" t="s">
        <v>1236</v>
      </c>
      <c r="C16" s="98">
        <v>15503</v>
      </c>
      <c r="D16" s="99" t="s">
        <v>951</v>
      </c>
      <c r="E16" s="99" t="s">
        <v>952</v>
      </c>
      <c r="F16" s="99">
        <v>3700</v>
      </c>
      <c r="G16" s="99" t="s">
        <v>526</v>
      </c>
      <c r="H16" s="99" t="s">
        <v>1237</v>
      </c>
      <c r="I16" s="99" t="s">
        <v>1620</v>
      </c>
      <c r="J16" s="99" t="s">
        <v>1621</v>
      </c>
      <c r="K16" s="99" t="s">
        <v>1622</v>
      </c>
      <c r="L16" s="98">
        <v>15479</v>
      </c>
      <c r="M16" s="98">
        <v>15503</v>
      </c>
      <c r="N16" s="98">
        <v>15537</v>
      </c>
      <c r="O16" s="98">
        <v>15545</v>
      </c>
      <c r="P16" s="98">
        <v>15578</v>
      </c>
      <c r="Q16" s="98">
        <v>15586</v>
      </c>
      <c r="R16" s="98">
        <v>115386</v>
      </c>
      <c r="S16" s="98">
        <v>118448</v>
      </c>
      <c r="T16" s="98"/>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ht="14.4" x14ac:dyDescent="0.3">
      <c r="A17" s="98">
        <v>118976</v>
      </c>
      <c r="B17" s="99" t="s">
        <v>85</v>
      </c>
      <c r="C17" s="98">
        <v>14068</v>
      </c>
      <c r="D17" s="99" t="s">
        <v>916</v>
      </c>
      <c r="E17" s="99" t="s">
        <v>917</v>
      </c>
      <c r="F17" s="99">
        <v>3530</v>
      </c>
      <c r="G17" s="99" t="s">
        <v>511</v>
      </c>
      <c r="H17" s="99" t="s">
        <v>1238</v>
      </c>
      <c r="I17" s="99" t="s">
        <v>1620</v>
      </c>
      <c r="J17" s="99" t="s">
        <v>1621</v>
      </c>
      <c r="K17" s="99" t="s">
        <v>1622</v>
      </c>
      <c r="L17" s="98">
        <v>14068</v>
      </c>
      <c r="M17" s="98">
        <v>14118</v>
      </c>
      <c r="N17" s="98">
        <v>14126</v>
      </c>
      <c r="O17" s="98">
        <v>14159</v>
      </c>
      <c r="P17" s="98">
        <v>14167</v>
      </c>
      <c r="Q17" s="98">
        <v>118455</v>
      </c>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ht="14.4" x14ac:dyDescent="0.3">
      <c r="A18" s="98">
        <v>118984</v>
      </c>
      <c r="B18" s="99" t="s">
        <v>86</v>
      </c>
      <c r="C18" s="98">
        <v>14613</v>
      </c>
      <c r="D18" s="99" t="s">
        <v>1540</v>
      </c>
      <c r="E18" s="99" t="s">
        <v>932</v>
      </c>
      <c r="F18" s="99">
        <v>3950</v>
      </c>
      <c r="G18" s="99" t="s">
        <v>519</v>
      </c>
      <c r="H18" s="99" t="s">
        <v>1239</v>
      </c>
      <c r="I18" s="99" t="s">
        <v>1620</v>
      </c>
      <c r="J18" s="99" t="s">
        <v>1621</v>
      </c>
      <c r="K18" s="99" t="s">
        <v>1622</v>
      </c>
      <c r="L18" s="98">
        <v>14589</v>
      </c>
      <c r="M18" s="98">
        <v>14613</v>
      </c>
      <c r="N18" s="98">
        <v>14621</v>
      </c>
      <c r="O18" s="98">
        <v>14639</v>
      </c>
      <c r="P18" s="98">
        <v>55301</v>
      </c>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ht="14.4" x14ac:dyDescent="0.3">
      <c r="A19" s="98">
        <v>118992</v>
      </c>
      <c r="B19" s="99" t="s">
        <v>87</v>
      </c>
      <c r="C19" s="98">
        <v>26187</v>
      </c>
      <c r="D19" s="99" t="s">
        <v>949</v>
      </c>
      <c r="E19" s="99" t="s">
        <v>1146</v>
      </c>
      <c r="F19" s="99">
        <v>3960</v>
      </c>
      <c r="G19" s="99" t="s">
        <v>525</v>
      </c>
      <c r="H19" s="99" t="s">
        <v>1240</v>
      </c>
      <c r="I19" s="99" t="s">
        <v>597</v>
      </c>
      <c r="J19" s="99" t="s">
        <v>598</v>
      </c>
      <c r="K19" s="99" t="s">
        <v>599</v>
      </c>
      <c r="L19" s="98">
        <v>15396</v>
      </c>
      <c r="M19" s="98">
        <v>15404</v>
      </c>
      <c r="N19" s="98">
        <v>15438</v>
      </c>
      <c r="O19" s="98">
        <v>15446</v>
      </c>
      <c r="P19" s="98"/>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ht="14.4" x14ac:dyDescent="0.3">
      <c r="A20" s="98">
        <v>119008</v>
      </c>
      <c r="B20" s="99" t="s">
        <v>88</v>
      </c>
      <c r="C20" s="98">
        <v>16683</v>
      </c>
      <c r="D20" s="99" t="s">
        <v>965</v>
      </c>
      <c r="E20" s="99" t="s">
        <v>1541</v>
      </c>
      <c r="F20" s="99">
        <v>3971</v>
      </c>
      <c r="G20" s="99" t="s">
        <v>968</v>
      </c>
      <c r="H20" s="99" t="s">
        <v>1241</v>
      </c>
      <c r="I20" s="99" t="s">
        <v>1620</v>
      </c>
      <c r="J20" s="99" t="s">
        <v>1621</v>
      </c>
      <c r="K20" s="99" t="s">
        <v>1622</v>
      </c>
      <c r="L20" s="98">
        <v>16642</v>
      </c>
      <c r="M20" s="98">
        <v>16659</v>
      </c>
      <c r="N20" s="98">
        <v>16683</v>
      </c>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ht="14.4" x14ac:dyDescent="0.3">
      <c r="A21" s="98">
        <v>119016</v>
      </c>
      <c r="B21" s="99" t="s">
        <v>215</v>
      </c>
      <c r="C21" s="98">
        <v>19951</v>
      </c>
      <c r="D21" s="99" t="s">
        <v>1048</v>
      </c>
      <c r="E21" s="99" t="s">
        <v>1049</v>
      </c>
      <c r="F21" s="99">
        <v>8800</v>
      </c>
      <c r="G21" s="99" t="s">
        <v>558</v>
      </c>
      <c r="H21" s="99" t="s">
        <v>1242</v>
      </c>
      <c r="I21" s="99" t="s">
        <v>485</v>
      </c>
      <c r="J21" s="99" t="s">
        <v>486</v>
      </c>
      <c r="K21" s="99" t="s">
        <v>487</v>
      </c>
      <c r="L21" s="98">
        <v>19943</v>
      </c>
      <c r="M21" s="98">
        <v>19951</v>
      </c>
      <c r="N21" s="98">
        <v>20073</v>
      </c>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ht="14.4" x14ac:dyDescent="0.3">
      <c r="A22" s="98">
        <v>119032</v>
      </c>
      <c r="B22" s="99" t="s">
        <v>268</v>
      </c>
      <c r="C22" s="98">
        <v>16691</v>
      </c>
      <c r="D22" s="99" t="s">
        <v>969</v>
      </c>
      <c r="E22" s="99" t="s">
        <v>970</v>
      </c>
      <c r="F22" s="99">
        <v>3980</v>
      </c>
      <c r="G22" s="99" t="s">
        <v>530</v>
      </c>
      <c r="H22" s="99" t="s">
        <v>1243</v>
      </c>
      <c r="I22" s="99" t="s">
        <v>1620</v>
      </c>
      <c r="J22" s="99" t="s">
        <v>1621</v>
      </c>
      <c r="K22" s="99" t="s">
        <v>1622</v>
      </c>
      <c r="L22" s="98">
        <v>16691</v>
      </c>
      <c r="M22" s="98">
        <v>16709</v>
      </c>
      <c r="N22" s="98">
        <v>16717</v>
      </c>
      <c r="O22" s="98">
        <v>16725</v>
      </c>
      <c r="P22" s="98">
        <v>16733</v>
      </c>
      <c r="Q22" s="98">
        <v>16758</v>
      </c>
      <c r="R22" s="98"/>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ht="14.4" x14ac:dyDescent="0.3">
      <c r="A23" s="98">
        <v>119041</v>
      </c>
      <c r="B23" s="99" t="s">
        <v>89</v>
      </c>
      <c r="C23" s="98">
        <v>61242</v>
      </c>
      <c r="D23" s="99" t="s">
        <v>938</v>
      </c>
      <c r="E23" s="99" t="s">
        <v>1033</v>
      </c>
      <c r="F23" s="99">
        <v>3590</v>
      </c>
      <c r="G23" s="99" t="s">
        <v>937</v>
      </c>
      <c r="H23" s="99" t="s">
        <v>1244</v>
      </c>
      <c r="I23" s="99" t="s">
        <v>1620</v>
      </c>
      <c r="J23" s="99" t="s">
        <v>1621</v>
      </c>
      <c r="K23" s="99" t="s">
        <v>1622</v>
      </c>
      <c r="L23" s="98">
        <v>14928</v>
      </c>
      <c r="M23" s="98">
        <v>14936</v>
      </c>
      <c r="N23" s="98">
        <v>14969</v>
      </c>
      <c r="O23" s="98">
        <v>61242</v>
      </c>
      <c r="P23" s="98">
        <v>105973</v>
      </c>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14.4" x14ac:dyDescent="0.3">
      <c r="A24" s="98">
        <v>119057</v>
      </c>
      <c r="B24" s="99" t="s">
        <v>90</v>
      </c>
      <c r="C24" s="98">
        <v>18572</v>
      </c>
      <c r="D24" s="99" t="s">
        <v>991</v>
      </c>
      <c r="E24" s="99" t="s">
        <v>1014</v>
      </c>
      <c r="F24" s="99">
        <v>8630</v>
      </c>
      <c r="G24" s="99" t="s">
        <v>546</v>
      </c>
      <c r="H24" s="99" t="s">
        <v>1245</v>
      </c>
      <c r="I24" s="99" t="s">
        <v>1617</v>
      </c>
      <c r="J24" s="99" t="s">
        <v>1618</v>
      </c>
      <c r="K24" s="99" t="s">
        <v>1619</v>
      </c>
      <c r="L24" s="98">
        <v>17509</v>
      </c>
      <c r="M24" s="98">
        <v>18441</v>
      </c>
      <c r="N24" s="98">
        <v>18473</v>
      </c>
      <c r="O24" s="98">
        <v>18499</v>
      </c>
      <c r="P24" s="98">
        <v>18531</v>
      </c>
      <c r="Q24" s="98">
        <v>18549</v>
      </c>
      <c r="R24" s="98">
        <v>18564</v>
      </c>
      <c r="S24" s="98">
        <v>18572</v>
      </c>
      <c r="T24" s="98">
        <v>18581</v>
      </c>
      <c r="U24" s="98">
        <v>18598</v>
      </c>
      <c r="V24" s="98">
        <v>18622</v>
      </c>
      <c r="W24" s="98">
        <v>18631</v>
      </c>
      <c r="X24" s="98">
        <v>20818</v>
      </c>
      <c r="Y24" s="98"/>
      <c r="Z24" s="98"/>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14.4" x14ac:dyDescent="0.3">
      <c r="A25" s="98">
        <v>119065</v>
      </c>
      <c r="B25" s="99" t="s">
        <v>269</v>
      </c>
      <c r="C25" s="98">
        <v>15792</v>
      </c>
      <c r="D25" s="99" t="s">
        <v>955</v>
      </c>
      <c r="E25" s="99" t="s">
        <v>956</v>
      </c>
      <c r="F25" s="99">
        <v>3620</v>
      </c>
      <c r="G25" s="99" t="s">
        <v>957</v>
      </c>
      <c r="H25" s="99" t="s">
        <v>1246</v>
      </c>
      <c r="I25" s="99" t="s">
        <v>1620</v>
      </c>
      <c r="J25" s="99" t="s">
        <v>1621</v>
      </c>
      <c r="K25" s="99" t="s">
        <v>1622</v>
      </c>
      <c r="L25" s="98">
        <v>15792</v>
      </c>
      <c r="M25" s="98">
        <v>15818</v>
      </c>
      <c r="N25" s="98">
        <v>15826</v>
      </c>
      <c r="O25" s="98">
        <v>15834</v>
      </c>
      <c r="P25" s="98">
        <v>15842</v>
      </c>
      <c r="Q25" s="98">
        <v>105965</v>
      </c>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14.4" x14ac:dyDescent="0.3">
      <c r="A26" s="98">
        <v>119073</v>
      </c>
      <c r="B26" s="99" t="s">
        <v>270</v>
      </c>
      <c r="C26" s="98">
        <v>15248</v>
      </c>
      <c r="D26" s="99" t="s">
        <v>943</v>
      </c>
      <c r="E26" s="99" t="s">
        <v>944</v>
      </c>
      <c r="F26" s="99">
        <v>3660</v>
      </c>
      <c r="G26" s="99" t="s">
        <v>516</v>
      </c>
      <c r="H26" s="99" t="s">
        <v>1247</v>
      </c>
      <c r="I26" s="99" t="s">
        <v>1620</v>
      </c>
      <c r="J26" s="99" t="s">
        <v>1621</v>
      </c>
      <c r="K26" s="99" t="s">
        <v>1622</v>
      </c>
      <c r="L26" s="98">
        <v>15222</v>
      </c>
      <c r="M26" s="98">
        <v>15231</v>
      </c>
      <c r="N26" s="98">
        <v>15248</v>
      </c>
      <c r="O26" s="98">
        <v>15412</v>
      </c>
      <c r="P26" s="98">
        <v>46045</v>
      </c>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4.4" x14ac:dyDescent="0.3">
      <c r="A27" s="98">
        <v>119099</v>
      </c>
      <c r="B27" s="99" t="s">
        <v>91</v>
      </c>
      <c r="C27" s="98">
        <v>112185</v>
      </c>
      <c r="D27" s="99" t="s">
        <v>962</v>
      </c>
      <c r="E27" s="99" t="s">
        <v>1189</v>
      </c>
      <c r="F27" s="99">
        <v>3545</v>
      </c>
      <c r="G27" s="99" t="s">
        <v>1190</v>
      </c>
      <c r="H27" s="99" t="s">
        <v>1248</v>
      </c>
      <c r="I27" s="99" t="s">
        <v>1620</v>
      </c>
      <c r="J27" s="99" t="s">
        <v>1621</v>
      </c>
      <c r="K27" s="99" t="s">
        <v>1622</v>
      </c>
      <c r="L27" s="98">
        <v>16436</v>
      </c>
      <c r="M27" s="98">
        <v>16444</v>
      </c>
      <c r="N27" s="98">
        <v>16451</v>
      </c>
      <c r="O27" s="98">
        <v>16469</v>
      </c>
      <c r="P27" s="98">
        <v>16477</v>
      </c>
      <c r="Q27" s="98">
        <v>112185</v>
      </c>
      <c r="R27" s="98">
        <v>130872</v>
      </c>
      <c r="S27" s="98"/>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ht="14.4" x14ac:dyDescent="0.3">
      <c r="A28" s="98">
        <v>119123</v>
      </c>
      <c r="B28" s="99" t="s">
        <v>92</v>
      </c>
      <c r="C28" s="98">
        <v>9341</v>
      </c>
      <c r="D28" s="99" t="s">
        <v>798</v>
      </c>
      <c r="E28" s="99" t="s">
        <v>799</v>
      </c>
      <c r="F28" s="99">
        <v>2440</v>
      </c>
      <c r="G28" s="99" t="s">
        <v>478</v>
      </c>
      <c r="H28" s="99" t="s">
        <v>1249</v>
      </c>
      <c r="I28" s="99" t="s">
        <v>450</v>
      </c>
      <c r="J28" s="99" t="s">
        <v>451</v>
      </c>
      <c r="K28" s="99" t="s">
        <v>452</v>
      </c>
      <c r="L28" s="98">
        <v>9341</v>
      </c>
      <c r="M28" s="98">
        <v>9357</v>
      </c>
      <c r="N28" s="98">
        <v>9365</v>
      </c>
      <c r="O28" s="98">
        <v>45302</v>
      </c>
      <c r="P28" s="98">
        <v>45328</v>
      </c>
      <c r="Q28" s="98"/>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ht="14.4" x14ac:dyDescent="0.3">
      <c r="A29" s="98">
        <v>119131</v>
      </c>
      <c r="B29" s="99" t="s">
        <v>271</v>
      </c>
      <c r="C29" s="98">
        <v>11478</v>
      </c>
      <c r="D29" s="99" t="s">
        <v>852</v>
      </c>
      <c r="E29" s="99" t="s">
        <v>853</v>
      </c>
      <c r="F29" s="99">
        <v>9190</v>
      </c>
      <c r="G29" s="99" t="s">
        <v>568</v>
      </c>
      <c r="H29" s="99" t="s">
        <v>1250</v>
      </c>
      <c r="I29" s="99" t="s">
        <v>485</v>
      </c>
      <c r="J29" s="99" t="s">
        <v>486</v>
      </c>
      <c r="K29" s="99" t="s">
        <v>487</v>
      </c>
      <c r="L29" s="98">
        <v>11461</v>
      </c>
      <c r="M29" s="98">
        <v>11478</v>
      </c>
      <c r="N29" s="98">
        <v>53488</v>
      </c>
      <c r="O29" s="98">
        <v>62331</v>
      </c>
      <c r="P29" s="98">
        <v>118604</v>
      </c>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ht="14.4" x14ac:dyDescent="0.3">
      <c r="A30" s="98">
        <v>119149</v>
      </c>
      <c r="B30" s="99" t="s">
        <v>272</v>
      </c>
      <c r="C30" s="98">
        <v>21592</v>
      </c>
      <c r="D30" s="99" t="s">
        <v>851</v>
      </c>
      <c r="E30" s="99" t="s">
        <v>1076</v>
      </c>
      <c r="F30" s="99">
        <v>9190</v>
      </c>
      <c r="G30" s="99" t="s">
        <v>568</v>
      </c>
      <c r="H30" s="99" t="s">
        <v>1251</v>
      </c>
      <c r="I30" s="99" t="s">
        <v>485</v>
      </c>
      <c r="J30" s="99" t="s">
        <v>486</v>
      </c>
      <c r="K30" s="99" t="s">
        <v>487</v>
      </c>
      <c r="L30" s="98">
        <v>11437</v>
      </c>
      <c r="M30" s="98">
        <v>11445</v>
      </c>
      <c r="N30" s="98">
        <v>11452</v>
      </c>
      <c r="O30" s="98">
        <v>11486</v>
      </c>
      <c r="P30" s="98">
        <v>21584</v>
      </c>
      <c r="Q30" s="98">
        <v>21592</v>
      </c>
      <c r="R30" s="98">
        <v>21601</v>
      </c>
      <c r="S30" s="98">
        <v>21618</v>
      </c>
      <c r="T30" s="98">
        <v>21626</v>
      </c>
      <c r="U30" s="98">
        <v>21634</v>
      </c>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ht="14.4" x14ac:dyDescent="0.3">
      <c r="A31" s="98">
        <v>119156</v>
      </c>
      <c r="B31" s="99" t="s">
        <v>273</v>
      </c>
      <c r="C31" s="98">
        <v>25007</v>
      </c>
      <c r="D31" s="99" t="s">
        <v>633</v>
      </c>
      <c r="E31" s="99" t="s">
        <v>1137</v>
      </c>
      <c r="F31" s="99">
        <v>9940</v>
      </c>
      <c r="G31" s="99" t="s">
        <v>1136</v>
      </c>
      <c r="H31" s="99" t="s">
        <v>1252</v>
      </c>
      <c r="I31" s="99" t="s">
        <v>415</v>
      </c>
      <c r="J31" s="99" t="s">
        <v>416</v>
      </c>
      <c r="K31" s="99" t="s">
        <v>1608</v>
      </c>
      <c r="L31" s="98">
        <v>21361</v>
      </c>
      <c r="M31" s="98">
        <v>21378</v>
      </c>
      <c r="N31" s="98">
        <v>21451</v>
      </c>
      <c r="O31" s="98">
        <v>25007</v>
      </c>
      <c r="P31" s="98">
        <v>45252</v>
      </c>
      <c r="Q31" s="98">
        <v>110081</v>
      </c>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ht="14.4" x14ac:dyDescent="0.3">
      <c r="A32" s="98">
        <v>119172</v>
      </c>
      <c r="B32" s="99" t="s">
        <v>93</v>
      </c>
      <c r="C32" s="98">
        <v>17756</v>
      </c>
      <c r="D32" s="99" t="s">
        <v>659</v>
      </c>
      <c r="E32" s="99" t="s">
        <v>996</v>
      </c>
      <c r="F32" s="99">
        <v>8470</v>
      </c>
      <c r="G32" s="99" t="s">
        <v>997</v>
      </c>
      <c r="H32" s="99" t="s">
        <v>1253</v>
      </c>
      <c r="I32" s="99" t="s">
        <v>1617</v>
      </c>
      <c r="J32" s="99" t="s">
        <v>1618</v>
      </c>
      <c r="K32" s="99" t="s">
        <v>1619</v>
      </c>
      <c r="L32" s="98">
        <v>17434</v>
      </c>
      <c r="M32" s="98">
        <v>17517</v>
      </c>
      <c r="N32" s="98">
        <v>17756</v>
      </c>
      <c r="O32" s="98">
        <v>18382</v>
      </c>
      <c r="P32" s="98">
        <v>18391</v>
      </c>
      <c r="Q32" s="98">
        <v>18457</v>
      </c>
      <c r="R32" s="98">
        <v>18481</v>
      </c>
      <c r="S32" s="98">
        <v>18515</v>
      </c>
      <c r="T32" s="98">
        <v>18556</v>
      </c>
      <c r="U32" s="98">
        <v>113571</v>
      </c>
      <c r="V32" s="100">
        <v>137539</v>
      </c>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ht="14.4" x14ac:dyDescent="0.3">
      <c r="A33" s="98">
        <v>119181</v>
      </c>
      <c r="B33" s="99" t="s">
        <v>94</v>
      </c>
      <c r="C33" s="98">
        <v>7443</v>
      </c>
      <c r="D33" s="99" t="s">
        <v>725</v>
      </c>
      <c r="E33" s="99" t="s">
        <v>726</v>
      </c>
      <c r="F33" s="99">
        <v>2110</v>
      </c>
      <c r="G33" s="99" t="s">
        <v>460</v>
      </c>
      <c r="H33" s="99" t="s">
        <v>1254</v>
      </c>
      <c r="I33" s="99" t="s">
        <v>450</v>
      </c>
      <c r="J33" s="99" t="s">
        <v>451</v>
      </c>
      <c r="K33" s="99" t="s">
        <v>452</v>
      </c>
      <c r="L33" s="98">
        <v>7443</v>
      </c>
      <c r="M33" s="98">
        <v>7674</v>
      </c>
      <c r="N33" s="98">
        <v>7781</v>
      </c>
      <c r="O33" s="98">
        <v>8292</v>
      </c>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ht="14.4" x14ac:dyDescent="0.3">
      <c r="A34" s="98">
        <v>119206</v>
      </c>
      <c r="B34" s="99" t="s">
        <v>95</v>
      </c>
      <c r="C34" s="98">
        <v>208</v>
      </c>
      <c r="D34" s="99" t="s">
        <v>431</v>
      </c>
      <c r="E34" s="99" t="s">
        <v>432</v>
      </c>
      <c r="F34" s="99">
        <v>1500</v>
      </c>
      <c r="G34" s="99" t="s">
        <v>430</v>
      </c>
      <c r="H34" s="99" t="s">
        <v>1255</v>
      </c>
      <c r="I34" s="99" t="s">
        <v>438</v>
      </c>
      <c r="J34" s="99" t="s">
        <v>439</v>
      </c>
      <c r="K34" s="99" t="s">
        <v>440</v>
      </c>
      <c r="L34" s="98">
        <v>191</v>
      </c>
      <c r="M34" s="98">
        <v>208</v>
      </c>
      <c r="N34" s="98">
        <v>216</v>
      </c>
      <c r="O34" s="98">
        <v>232</v>
      </c>
      <c r="P34" s="98">
        <v>257</v>
      </c>
      <c r="Q34" s="98">
        <v>265</v>
      </c>
      <c r="R34" s="98">
        <v>273</v>
      </c>
      <c r="S34" s="98">
        <v>281</v>
      </c>
      <c r="T34" s="98">
        <v>349</v>
      </c>
      <c r="U34" s="98">
        <v>356</v>
      </c>
      <c r="V34" s="98">
        <v>4689</v>
      </c>
      <c r="W34" s="98">
        <v>44636</v>
      </c>
      <c r="X34" s="98">
        <v>137761</v>
      </c>
      <c r="Y34" s="98">
        <v>143537</v>
      </c>
      <c r="Z34" s="98"/>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ht="14.4" x14ac:dyDescent="0.3">
      <c r="A35" s="98">
        <v>119214</v>
      </c>
      <c r="B35" s="99" t="s">
        <v>96</v>
      </c>
      <c r="C35" s="98">
        <v>3707</v>
      </c>
      <c r="D35" s="99" t="s">
        <v>608</v>
      </c>
      <c r="E35" s="99" t="s">
        <v>609</v>
      </c>
      <c r="F35" s="99">
        <v>1120</v>
      </c>
      <c r="G35" s="99" t="s">
        <v>427</v>
      </c>
      <c r="H35" s="99" t="s">
        <v>1256</v>
      </c>
      <c r="I35" s="99" t="s">
        <v>438</v>
      </c>
      <c r="J35" s="99" t="s">
        <v>439</v>
      </c>
      <c r="K35" s="99" t="s">
        <v>440</v>
      </c>
      <c r="L35" s="98">
        <v>3707</v>
      </c>
      <c r="M35" s="98">
        <v>3715</v>
      </c>
      <c r="N35" s="98">
        <v>107946</v>
      </c>
      <c r="O35" s="98">
        <v>115551</v>
      </c>
      <c r="P35" s="98">
        <v>129593</v>
      </c>
      <c r="Q35" s="98">
        <v>133405</v>
      </c>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ht="14.4" x14ac:dyDescent="0.3">
      <c r="A36" s="98">
        <v>119222</v>
      </c>
      <c r="B36" s="99" t="s">
        <v>274</v>
      </c>
      <c r="C36" s="98">
        <v>3913</v>
      </c>
      <c r="D36" s="99" t="s">
        <v>616</v>
      </c>
      <c r="E36" s="99" t="s">
        <v>617</v>
      </c>
      <c r="F36" s="99">
        <v>1060</v>
      </c>
      <c r="G36" s="99" t="s">
        <v>422</v>
      </c>
      <c r="H36" s="99" t="s">
        <v>1257</v>
      </c>
      <c r="I36" s="99" t="s">
        <v>438</v>
      </c>
      <c r="J36" s="99" t="s">
        <v>439</v>
      </c>
      <c r="K36" s="99" t="s">
        <v>440</v>
      </c>
      <c r="L36" s="98">
        <v>3913</v>
      </c>
      <c r="M36" s="98">
        <v>3939</v>
      </c>
      <c r="N36" s="98">
        <v>3947</v>
      </c>
      <c r="O36" s="98">
        <v>4011</v>
      </c>
      <c r="P36" s="98">
        <v>4036</v>
      </c>
      <c r="Q36" s="98">
        <v>4515</v>
      </c>
      <c r="R36" s="98">
        <v>55715</v>
      </c>
      <c r="S36" s="98">
        <v>55814</v>
      </c>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4.4" x14ac:dyDescent="0.3">
      <c r="A37" s="98">
        <v>119248</v>
      </c>
      <c r="B37" s="99" t="s">
        <v>275</v>
      </c>
      <c r="C37" s="98">
        <v>10736</v>
      </c>
      <c r="D37" s="99" t="s">
        <v>1545</v>
      </c>
      <c r="E37" s="99" t="s">
        <v>832</v>
      </c>
      <c r="F37" s="99">
        <v>2830</v>
      </c>
      <c r="G37" s="99" t="s">
        <v>833</v>
      </c>
      <c r="H37" s="99" t="s">
        <v>1258</v>
      </c>
      <c r="I37" s="99" t="s">
        <v>485</v>
      </c>
      <c r="J37" s="99" t="s">
        <v>486</v>
      </c>
      <c r="K37" s="99" t="s">
        <v>487</v>
      </c>
      <c r="L37" s="98">
        <v>10066</v>
      </c>
      <c r="M37" s="98">
        <v>10074</v>
      </c>
      <c r="N37" s="98">
        <v>10736</v>
      </c>
      <c r="O37" s="98">
        <v>10744</v>
      </c>
      <c r="P37" s="98">
        <v>11601</v>
      </c>
      <c r="Q37" s="98">
        <v>11643</v>
      </c>
      <c r="R37" s="98">
        <v>11908</v>
      </c>
      <c r="S37" s="98">
        <v>12121</v>
      </c>
      <c r="T37" s="98">
        <v>112862</v>
      </c>
      <c r="U37" s="98"/>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ht="14.4" x14ac:dyDescent="0.3">
      <c r="A38" s="98">
        <v>119255</v>
      </c>
      <c r="B38" s="99" t="s">
        <v>97</v>
      </c>
      <c r="C38" s="98">
        <v>46052</v>
      </c>
      <c r="D38" s="99" t="s">
        <v>1546</v>
      </c>
      <c r="E38" s="99" t="s">
        <v>1155</v>
      </c>
      <c r="F38" s="99">
        <v>2540</v>
      </c>
      <c r="G38" s="99" t="s">
        <v>483</v>
      </c>
      <c r="H38" s="99" t="s">
        <v>1259</v>
      </c>
      <c r="I38" s="99" t="s">
        <v>450</v>
      </c>
      <c r="J38" s="99" t="s">
        <v>451</v>
      </c>
      <c r="K38" s="99" t="s">
        <v>452</v>
      </c>
      <c r="L38" s="98">
        <v>9902</v>
      </c>
      <c r="M38" s="98">
        <v>9977</v>
      </c>
      <c r="N38" s="98">
        <v>9993</v>
      </c>
      <c r="O38" s="98">
        <v>10009</v>
      </c>
      <c r="P38" s="98">
        <v>10082</v>
      </c>
      <c r="Q38" s="98">
        <v>10553</v>
      </c>
      <c r="R38" s="98">
        <v>46052</v>
      </c>
      <c r="S38" s="98">
        <v>53553</v>
      </c>
      <c r="T38" s="98">
        <v>104596</v>
      </c>
      <c r="U38" s="100">
        <v>129106</v>
      </c>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14.4" x14ac:dyDescent="0.3">
      <c r="A39" s="98">
        <v>119263</v>
      </c>
      <c r="B39" s="99" t="s">
        <v>98</v>
      </c>
      <c r="C39" s="98">
        <v>107938</v>
      </c>
      <c r="D39" s="99" t="s">
        <v>1085</v>
      </c>
      <c r="E39" s="99" t="s">
        <v>1180</v>
      </c>
      <c r="F39" s="99">
        <v>9240</v>
      </c>
      <c r="G39" s="99" t="s">
        <v>1084</v>
      </c>
      <c r="H39" s="99" t="s">
        <v>1260</v>
      </c>
      <c r="I39" s="99" t="s">
        <v>485</v>
      </c>
      <c r="J39" s="99" t="s">
        <v>486</v>
      </c>
      <c r="K39" s="99" t="s">
        <v>487</v>
      </c>
      <c r="L39" s="98">
        <v>21907</v>
      </c>
      <c r="M39" s="98">
        <v>21931</v>
      </c>
      <c r="N39" s="98">
        <v>21972</v>
      </c>
      <c r="O39" s="98">
        <v>107938</v>
      </c>
      <c r="P39" s="98">
        <v>118554</v>
      </c>
      <c r="Q39" s="98"/>
      <c r="R39" s="98"/>
      <c r="S39" s="98"/>
      <c r="T39" s="98"/>
      <c r="U39" s="98"/>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14.4" x14ac:dyDescent="0.3">
      <c r="A40" s="98">
        <v>119289</v>
      </c>
      <c r="B40" s="99" t="s">
        <v>216</v>
      </c>
      <c r="C40" s="98">
        <v>128132</v>
      </c>
      <c r="D40" s="99" t="s">
        <v>1086</v>
      </c>
      <c r="E40" s="99" t="s">
        <v>1215</v>
      </c>
      <c r="F40" s="99">
        <v>9160</v>
      </c>
      <c r="G40" s="99" t="s">
        <v>569</v>
      </c>
      <c r="H40" s="99" t="s">
        <v>1623</v>
      </c>
      <c r="I40" s="99" t="s">
        <v>485</v>
      </c>
      <c r="J40" s="99" t="s">
        <v>486</v>
      </c>
      <c r="K40" s="99" t="s">
        <v>487</v>
      </c>
      <c r="L40" s="98">
        <v>21981</v>
      </c>
      <c r="M40" s="98">
        <v>46301</v>
      </c>
      <c r="N40" s="98">
        <v>128124</v>
      </c>
      <c r="O40" s="98">
        <v>128132</v>
      </c>
      <c r="P40" s="98"/>
      <c r="Q40" s="98"/>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14.4" x14ac:dyDescent="0.3">
      <c r="A41" s="98">
        <v>119297</v>
      </c>
      <c r="B41" s="99" t="s">
        <v>99</v>
      </c>
      <c r="C41" s="98">
        <v>131417</v>
      </c>
      <c r="D41" s="99" t="s">
        <v>899</v>
      </c>
      <c r="E41" s="99" t="s">
        <v>1221</v>
      </c>
      <c r="F41" s="99">
        <v>3272</v>
      </c>
      <c r="G41" s="99" t="s">
        <v>900</v>
      </c>
      <c r="H41" s="99" t="s">
        <v>1261</v>
      </c>
      <c r="I41" s="99" t="s">
        <v>438</v>
      </c>
      <c r="J41" s="99" t="s">
        <v>439</v>
      </c>
      <c r="K41" s="99" t="s">
        <v>440</v>
      </c>
      <c r="L41" s="98">
        <v>13235</v>
      </c>
      <c r="M41" s="98">
        <v>13326</v>
      </c>
      <c r="N41" s="98">
        <v>13383</v>
      </c>
      <c r="O41" s="98">
        <v>13524</v>
      </c>
      <c r="P41" s="100">
        <v>13565</v>
      </c>
      <c r="Q41" s="100">
        <v>13607</v>
      </c>
      <c r="R41" s="100">
        <v>13623</v>
      </c>
      <c r="S41" s="100">
        <v>13706</v>
      </c>
      <c r="T41" s="100">
        <v>129445</v>
      </c>
      <c r="U41" s="100">
        <v>131417</v>
      </c>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ht="14.4" x14ac:dyDescent="0.3">
      <c r="A42" s="98">
        <v>119305</v>
      </c>
      <c r="B42" s="99" t="s">
        <v>276</v>
      </c>
      <c r="C42" s="98">
        <v>5033</v>
      </c>
      <c r="D42" s="99" t="s">
        <v>640</v>
      </c>
      <c r="E42" s="99" t="s">
        <v>655</v>
      </c>
      <c r="F42" s="99">
        <v>1755</v>
      </c>
      <c r="G42" s="99" t="s">
        <v>656</v>
      </c>
      <c r="H42" s="99" t="s">
        <v>1262</v>
      </c>
      <c r="I42" s="99" t="s">
        <v>415</v>
      </c>
      <c r="J42" s="99" t="s">
        <v>416</v>
      </c>
      <c r="K42" s="99" t="s">
        <v>1608</v>
      </c>
      <c r="L42" s="98">
        <v>4705</v>
      </c>
      <c r="M42" s="98">
        <v>4721</v>
      </c>
      <c r="N42" s="98">
        <v>4747</v>
      </c>
      <c r="O42" s="98">
        <v>5017</v>
      </c>
      <c r="P42" s="98">
        <v>5033</v>
      </c>
      <c r="Q42" s="98">
        <v>115501</v>
      </c>
      <c r="R42" s="98">
        <v>115519</v>
      </c>
      <c r="S42" s="100">
        <v>126318</v>
      </c>
      <c r="T42" s="100">
        <v>127076</v>
      </c>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14.4" x14ac:dyDescent="0.3">
      <c r="A43" s="98">
        <v>119313</v>
      </c>
      <c r="B43" s="99" t="s">
        <v>100</v>
      </c>
      <c r="C43" s="98">
        <v>5629</v>
      </c>
      <c r="D43" s="99" t="s">
        <v>676</v>
      </c>
      <c r="E43" s="99" t="s">
        <v>678</v>
      </c>
      <c r="F43" s="99">
        <v>1851</v>
      </c>
      <c r="G43" s="99" t="s">
        <v>679</v>
      </c>
      <c r="H43" s="99" t="s">
        <v>1263</v>
      </c>
      <c r="I43" s="99" t="s">
        <v>415</v>
      </c>
      <c r="J43" s="99" t="s">
        <v>416</v>
      </c>
      <c r="K43" s="99" t="s">
        <v>1608</v>
      </c>
      <c r="L43" s="98">
        <v>5538</v>
      </c>
      <c r="M43" s="98">
        <v>5595</v>
      </c>
      <c r="N43" s="98">
        <v>5629</v>
      </c>
      <c r="O43" s="98">
        <v>5645</v>
      </c>
      <c r="P43" s="98"/>
      <c r="Q43" s="98"/>
      <c r="R43" s="98"/>
      <c r="S43" s="98"/>
      <c r="T43" s="98"/>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ht="14.4" x14ac:dyDescent="0.3">
      <c r="A44" s="98">
        <v>119339</v>
      </c>
      <c r="B44" s="99" t="s">
        <v>101</v>
      </c>
      <c r="C44" s="98">
        <v>106112</v>
      </c>
      <c r="D44" s="99" t="s">
        <v>604</v>
      </c>
      <c r="E44" s="99" t="s">
        <v>1177</v>
      </c>
      <c r="F44" s="99">
        <v>1000</v>
      </c>
      <c r="G44" s="99" t="s">
        <v>414</v>
      </c>
      <c r="H44" s="99" t="s">
        <v>1264</v>
      </c>
      <c r="I44" s="99" t="s">
        <v>438</v>
      </c>
      <c r="J44" s="99" t="s">
        <v>439</v>
      </c>
      <c r="K44" s="99" t="s">
        <v>440</v>
      </c>
      <c r="L44" s="98">
        <v>3657</v>
      </c>
      <c r="M44" s="98">
        <v>4044</v>
      </c>
      <c r="N44" s="98">
        <v>4069</v>
      </c>
      <c r="O44" s="98">
        <v>4077</v>
      </c>
      <c r="P44" s="100">
        <v>106112</v>
      </c>
      <c r="Q44" s="100">
        <v>115493</v>
      </c>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ht="14.4" x14ac:dyDescent="0.3">
      <c r="A45" s="98">
        <v>119354</v>
      </c>
      <c r="B45" s="99" t="s">
        <v>102</v>
      </c>
      <c r="C45" s="98">
        <v>8541</v>
      </c>
      <c r="D45" s="99" t="s">
        <v>764</v>
      </c>
      <c r="E45" s="99" t="s">
        <v>765</v>
      </c>
      <c r="F45" s="99">
        <v>2300</v>
      </c>
      <c r="G45" s="99" t="s">
        <v>472</v>
      </c>
      <c r="H45" s="99" t="s">
        <v>1265</v>
      </c>
      <c r="I45" s="99" t="s">
        <v>450</v>
      </c>
      <c r="J45" s="99" t="s">
        <v>451</v>
      </c>
      <c r="K45" s="99" t="s">
        <v>452</v>
      </c>
      <c r="L45" s="98">
        <v>8532</v>
      </c>
      <c r="M45" s="98">
        <v>8541</v>
      </c>
      <c r="N45" s="98">
        <v>8557</v>
      </c>
      <c r="O45" s="98">
        <v>8813</v>
      </c>
      <c r="P45" s="98">
        <v>8821</v>
      </c>
      <c r="Q45" s="98"/>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ht="14.4" x14ac:dyDescent="0.3">
      <c r="A46" s="98">
        <v>119362</v>
      </c>
      <c r="B46" s="99" t="s">
        <v>277</v>
      </c>
      <c r="C46" s="98">
        <v>108225</v>
      </c>
      <c r="D46" s="99" t="s">
        <v>1547</v>
      </c>
      <c r="E46" s="99" t="s">
        <v>1182</v>
      </c>
      <c r="F46" s="99">
        <v>8860</v>
      </c>
      <c r="G46" s="99" t="s">
        <v>1042</v>
      </c>
      <c r="H46" s="99" t="s">
        <v>1266</v>
      </c>
      <c r="I46" s="99" t="s">
        <v>1617</v>
      </c>
      <c r="J46" s="99" t="s">
        <v>1618</v>
      </c>
      <c r="K46" s="99" t="s">
        <v>1619</v>
      </c>
      <c r="L46" s="98">
        <v>19505</v>
      </c>
      <c r="M46" s="98">
        <v>19513</v>
      </c>
      <c r="N46" s="98">
        <v>19521</v>
      </c>
      <c r="O46" s="98">
        <v>19539</v>
      </c>
      <c r="P46" s="98">
        <v>19562</v>
      </c>
      <c r="Q46" s="100">
        <v>19571</v>
      </c>
      <c r="R46" s="100">
        <v>19588</v>
      </c>
      <c r="S46" s="100">
        <v>108225</v>
      </c>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ht="14.4" x14ac:dyDescent="0.3">
      <c r="A47" s="98">
        <v>119371</v>
      </c>
      <c r="B47" s="99" t="s">
        <v>103</v>
      </c>
      <c r="C47" s="98">
        <v>18887</v>
      </c>
      <c r="D47" s="99" t="s">
        <v>904</v>
      </c>
      <c r="E47" s="99" t="s">
        <v>1027</v>
      </c>
      <c r="F47" s="99">
        <v>8550</v>
      </c>
      <c r="G47" s="99" t="s">
        <v>551</v>
      </c>
      <c r="H47" s="99" t="s">
        <v>1267</v>
      </c>
      <c r="I47" s="99" t="s">
        <v>1617</v>
      </c>
      <c r="J47" s="99" t="s">
        <v>1618</v>
      </c>
      <c r="K47" s="99" t="s">
        <v>1619</v>
      </c>
      <c r="L47" s="98">
        <v>18887</v>
      </c>
      <c r="M47" s="98">
        <v>19034</v>
      </c>
      <c r="N47" s="98">
        <v>19042</v>
      </c>
      <c r="O47" s="98">
        <v>106121</v>
      </c>
      <c r="P47" s="98">
        <v>143867</v>
      </c>
      <c r="Q47" s="98"/>
      <c r="R47" s="98"/>
      <c r="S47" s="98"/>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14.4" x14ac:dyDescent="0.3">
      <c r="A48" s="98">
        <v>119388</v>
      </c>
      <c r="B48" s="99" t="s">
        <v>1548</v>
      </c>
      <c r="C48" s="98">
        <v>18275</v>
      </c>
      <c r="D48" s="99" t="s">
        <v>1009</v>
      </c>
      <c r="E48" s="99" t="s">
        <v>1010</v>
      </c>
      <c r="F48" s="99">
        <v>8400</v>
      </c>
      <c r="G48" s="99" t="s">
        <v>543</v>
      </c>
      <c r="H48" s="99" t="s">
        <v>1624</v>
      </c>
      <c r="I48" s="99" t="s">
        <v>1617</v>
      </c>
      <c r="J48" s="99" t="s">
        <v>1618</v>
      </c>
      <c r="K48" s="99" t="s">
        <v>1619</v>
      </c>
      <c r="L48" s="98">
        <v>18192</v>
      </c>
      <c r="M48" s="98">
        <v>18218</v>
      </c>
      <c r="N48" s="98">
        <v>18226</v>
      </c>
      <c r="O48" s="98">
        <v>18242</v>
      </c>
      <c r="P48" s="98">
        <v>18275</v>
      </c>
      <c r="Q48" s="100">
        <v>18283</v>
      </c>
      <c r="R48" s="100">
        <v>18374</v>
      </c>
      <c r="S48" s="100">
        <v>18424</v>
      </c>
      <c r="T48" s="100">
        <v>18432</v>
      </c>
      <c r="U48" s="100">
        <v>61077</v>
      </c>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14.4" x14ac:dyDescent="0.3">
      <c r="A49" s="98">
        <v>119404</v>
      </c>
      <c r="B49" s="99" t="s">
        <v>104</v>
      </c>
      <c r="C49" s="98">
        <v>17665</v>
      </c>
      <c r="D49" s="99" t="s">
        <v>993</v>
      </c>
      <c r="E49" s="99" t="s">
        <v>994</v>
      </c>
      <c r="F49" s="99">
        <v>8490</v>
      </c>
      <c r="G49" s="99" t="s">
        <v>995</v>
      </c>
      <c r="H49" s="99" t="s">
        <v>1625</v>
      </c>
      <c r="I49" s="99" t="s">
        <v>1617</v>
      </c>
      <c r="J49" s="99" t="s">
        <v>1618</v>
      </c>
      <c r="K49" s="99" t="s">
        <v>1619</v>
      </c>
      <c r="L49" s="98">
        <v>17608</v>
      </c>
      <c r="M49" s="98">
        <v>17657</v>
      </c>
      <c r="N49" s="98">
        <v>17665</v>
      </c>
      <c r="O49" s="98">
        <v>17673</v>
      </c>
      <c r="P49" s="98"/>
      <c r="Q49" s="98"/>
      <c r="R49" s="98"/>
      <c r="S49" s="98"/>
      <c r="T49" s="98"/>
      <c r="U49" s="98"/>
      <c r="V49" s="98"/>
      <c r="W49" s="98"/>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ht="14.4" x14ac:dyDescent="0.3">
      <c r="A50" s="98">
        <v>119412</v>
      </c>
      <c r="B50" s="99" t="s">
        <v>105</v>
      </c>
      <c r="C50" s="98">
        <v>18804</v>
      </c>
      <c r="D50" s="99" t="s">
        <v>646</v>
      </c>
      <c r="E50" s="99" t="s">
        <v>1023</v>
      </c>
      <c r="F50" s="99">
        <v>8930</v>
      </c>
      <c r="G50" s="99" t="s">
        <v>550</v>
      </c>
      <c r="H50" s="99" t="s">
        <v>1626</v>
      </c>
      <c r="I50" s="99" t="s">
        <v>1617</v>
      </c>
      <c r="J50" s="99" t="s">
        <v>1618</v>
      </c>
      <c r="K50" s="99" t="s">
        <v>1619</v>
      </c>
      <c r="L50" s="98">
        <v>18804</v>
      </c>
      <c r="M50" s="98">
        <v>18821</v>
      </c>
      <c r="N50" s="98">
        <v>19141</v>
      </c>
      <c r="O50" s="98">
        <v>55855</v>
      </c>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ht="14.4" x14ac:dyDescent="0.3">
      <c r="A51" s="98">
        <v>119421</v>
      </c>
      <c r="B51" s="99" t="s">
        <v>278</v>
      </c>
      <c r="C51" s="98">
        <v>19745</v>
      </c>
      <c r="D51" s="99" t="s">
        <v>1549</v>
      </c>
      <c r="E51" s="99" t="s">
        <v>1041</v>
      </c>
      <c r="F51" s="99">
        <v>8860</v>
      </c>
      <c r="G51" s="99" t="s">
        <v>1042</v>
      </c>
      <c r="H51" s="99" t="s">
        <v>1268</v>
      </c>
      <c r="I51" s="99" t="s">
        <v>1617</v>
      </c>
      <c r="J51" s="99" t="s">
        <v>1618</v>
      </c>
      <c r="K51" s="99" t="s">
        <v>1619</v>
      </c>
      <c r="L51" s="98">
        <v>19431</v>
      </c>
      <c r="M51" s="98">
        <v>19448</v>
      </c>
      <c r="N51" s="98">
        <v>19463</v>
      </c>
      <c r="O51" s="98">
        <v>19489</v>
      </c>
      <c r="P51" s="100">
        <v>19745</v>
      </c>
      <c r="Q51" s="100">
        <v>19761</v>
      </c>
      <c r="R51" s="100">
        <v>61457</v>
      </c>
      <c r="S51" s="100">
        <v>110437</v>
      </c>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ht="14.4" x14ac:dyDescent="0.3">
      <c r="A52" s="98">
        <v>119438</v>
      </c>
      <c r="B52" s="99" t="s">
        <v>106</v>
      </c>
      <c r="C52" s="98">
        <v>115857</v>
      </c>
      <c r="D52" s="99" t="s">
        <v>1036</v>
      </c>
      <c r="E52" s="99" t="s">
        <v>1196</v>
      </c>
      <c r="F52" s="99">
        <v>8530</v>
      </c>
      <c r="G52" s="99" t="s">
        <v>555</v>
      </c>
      <c r="H52" s="99" t="s">
        <v>1269</v>
      </c>
      <c r="I52" s="99" t="s">
        <v>1617</v>
      </c>
      <c r="J52" s="99" t="s">
        <v>1618</v>
      </c>
      <c r="K52" s="99" t="s">
        <v>1619</v>
      </c>
      <c r="L52" s="98">
        <v>19547</v>
      </c>
      <c r="M52" s="98">
        <v>19554</v>
      </c>
      <c r="N52" s="98">
        <v>19596</v>
      </c>
      <c r="O52" s="98">
        <v>19604</v>
      </c>
      <c r="P52" s="98">
        <v>115857</v>
      </c>
      <c r="Q52" s="98"/>
      <c r="R52" s="98"/>
      <c r="S52" s="98"/>
      <c r="T52" s="98"/>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ht="14.4" x14ac:dyDescent="0.3">
      <c r="A53" s="98">
        <v>119446</v>
      </c>
      <c r="B53" s="99" t="s">
        <v>1270</v>
      </c>
      <c r="C53" s="98">
        <v>8201</v>
      </c>
      <c r="D53" s="99" t="s">
        <v>751</v>
      </c>
      <c r="E53" s="99" t="s">
        <v>752</v>
      </c>
      <c r="F53" s="99">
        <v>2520</v>
      </c>
      <c r="G53" s="99" t="s">
        <v>753</v>
      </c>
      <c r="H53" s="99" t="s">
        <v>1271</v>
      </c>
      <c r="I53" s="99" t="s">
        <v>450</v>
      </c>
      <c r="J53" s="99" t="s">
        <v>451</v>
      </c>
      <c r="K53" s="99" t="s">
        <v>452</v>
      </c>
      <c r="L53" s="98">
        <v>8201</v>
      </c>
      <c r="M53" s="98">
        <v>8268</v>
      </c>
      <c r="N53" s="98">
        <v>8301</v>
      </c>
      <c r="O53" s="98">
        <v>8342</v>
      </c>
      <c r="P53" s="98">
        <v>8359</v>
      </c>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ht="14.4" x14ac:dyDescent="0.3">
      <c r="A54" s="98">
        <v>119453</v>
      </c>
      <c r="B54" s="99" t="s">
        <v>107</v>
      </c>
      <c r="C54" s="98">
        <v>17401</v>
      </c>
      <c r="D54" s="99" t="s">
        <v>987</v>
      </c>
      <c r="E54" s="99" t="s">
        <v>988</v>
      </c>
      <c r="F54" s="99">
        <v>8650</v>
      </c>
      <c r="G54" s="99" t="s">
        <v>989</v>
      </c>
      <c r="H54" s="99" t="s">
        <v>1272</v>
      </c>
      <c r="I54" s="99" t="s">
        <v>1617</v>
      </c>
      <c r="J54" s="99" t="s">
        <v>1618</v>
      </c>
      <c r="K54" s="99" t="s">
        <v>1619</v>
      </c>
      <c r="L54" s="98">
        <v>17376</v>
      </c>
      <c r="M54" s="98">
        <v>17384</v>
      </c>
      <c r="N54" s="98">
        <v>17401</v>
      </c>
      <c r="O54" s="98">
        <v>127101</v>
      </c>
      <c r="P54" s="98">
        <v>131912</v>
      </c>
      <c r="Q54" s="100">
        <v>138693</v>
      </c>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14.4" x14ac:dyDescent="0.3">
      <c r="A55" s="98">
        <v>119461</v>
      </c>
      <c r="B55" s="99" t="s">
        <v>279</v>
      </c>
      <c r="C55" s="98">
        <v>19612</v>
      </c>
      <c r="D55" s="99" t="s">
        <v>820</v>
      </c>
      <c r="E55" s="99" t="s">
        <v>1037</v>
      </c>
      <c r="F55" s="99">
        <v>8530</v>
      </c>
      <c r="G55" s="99" t="s">
        <v>555</v>
      </c>
      <c r="H55" s="99" t="s">
        <v>1273</v>
      </c>
      <c r="I55" s="99" t="s">
        <v>1617</v>
      </c>
      <c r="J55" s="99" t="s">
        <v>1618</v>
      </c>
      <c r="K55" s="99" t="s">
        <v>1619</v>
      </c>
      <c r="L55" s="98">
        <v>19612</v>
      </c>
      <c r="M55" s="98">
        <v>19621</v>
      </c>
      <c r="N55" s="98">
        <v>19737</v>
      </c>
      <c r="O55" s="98">
        <v>61176</v>
      </c>
      <c r="P55" s="98">
        <v>113076</v>
      </c>
      <c r="Q55" s="98">
        <v>125641</v>
      </c>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14.4" x14ac:dyDescent="0.3">
      <c r="A56" s="98">
        <v>119479</v>
      </c>
      <c r="B56" s="99" t="s">
        <v>108</v>
      </c>
      <c r="C56" s="98">
        <v>25072</v>
      </c>
      <c r="D56" s="99" t="s">
        <v>1073</v>
      </c>
      <c r="E56" s="99" t="s">
        <v>1138</v>
      </c>
      <c r="F56" s="99">
        <v>9968</v>
      </c>
      <c r="G56" s="99" t="s">
        <v>1139</v>
      </c>
      <c r="H56" s="99" t="s">
        <v>1274</v>
      </c>
      <c r="I56" s="99" t="s">
        <v>415</v>
      </c>
      <c r="J56" s="99" t="s">
        <v>416</v>
      </c>
      <c r="K56" s="99" t="s">
        <v>1608</v>
      </c>
      <c r="L56" s="98">
        <v>21469</v>
      </c>
      <c r="M56" s="98">
        <v>25072</v>
      </c>
      <c r="N56" s="98">
        <v>25098</v>
      </c>
      <c r="O56" s="98">
        <v>25131</v>
      </c>
      <c r="P56" s="98">
        <v>25155</v>
      </c>
      <c r="Q56" s="98">
        <v>25163</v>
      </c>
      <c r="R56" s="100">
        <v>118621</v>
      </c>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ht="14.4" x14ac:dyDescent="0.3">
      <c r="A57" s="98">
        <v>119487</v>
      </c>
      <c r="B57" s="99" t="s">
        <v>280</v>
      </c>
      <c r="C57" s="98">
        <v>24349</v>
      </c>
      <c r="D57" s="99" t="s">
        <v>1094</v>
      </c>
      <c r="E57" s="99" t="s">
        <v>1128</v>
      </c>
      <c r="F57" s="99">
        <v>9890</v>
      </c>
      <c r="G57" s="99" t="s">
        <v>1129</v>
      </c>
      <c r="H57" s="99" t="s">
        <v>1275</v>
      </c>
      <c r="I57" s="99" t="s">
        <v>415</v>
      </c>
      <c r="J57" s="99" t="s">
        <v>416</v>
      </c>
      <c r="K57" s="99" t="s">
        <v>1608</v>
      </c>
      <c r="L57" s="98">
        <v>22442</v>
      </c>
      <c r="M57" s="98">
        <v>24349</v>
      </c>
      <c r="N57" s="98">
        <v>129131</v>
      </c>
      <c r="O57" s="98">
        <v>138552</v>
      </c>
      <c r="P57" s="98"/>
      <c r="Q57" s="98"/>
      <c r="R57" s="98"/>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ht="14.4" x14ac:dyDescent="0.3">
      <c r="A58" s="98">
        <v>119495</v>
      </c>
      <c r="B58" s="99" t="s">
        <v>109</v>
      </c>
      <c r="C58" s="98">
        <v>8748</v>
      </c>
      <c r="D58" s="99" t="s">
        <v>769</v>
      </c>
      <c r="E58" s="99" t="s">
        <v>776</v>
      </c>
      <c r="F58" s="99">
        <v>2330</v>
      </c>
      <c r="G58" s="99" t="s">
        <v>777</v>
      </c>
      <c r="H58" s="99" t="s">
        <v>1276</v>
      </c>
      <c r="I58" s="99" t="s">
        <v>450</v>
      </c>
      <c r="J58" s="99" t="s">
        <v>451</v>
      </c>
      <c r="K58" s="99" t="s">
        <v>452</v>
      </c>
      <c r="L58" s="98">
        <v>8672</v>
      </c>
      <c r="M58" s="98">
        <v>8748</v>
      </c>
      <c r="N58" s="98">
        <v>8839</v>
      </c>
      <c r="O58" s="98">
        <v>53306</v>
      </c>
      <c r="P58" s="100">
        <v>55781</v>
      </c>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row>
    <row r="59" spans="1:52" ht="14.4" x14ac:dyDescent="0.3">
      <c r="A59" s="98">
        <v>119503</v>
      </c>
      <c r="B59" s="99" t="s">
        <v>110</v>
      </c>
      <c r="C59" s="98">
        <v>23358</v>
      </c>
      <c r="D59" s="99" t="s">
        <v>1069</v>
      </c>
      <c r="E59" s="99" t="s">
        <v>1104</v>
      </c>
      <c r="F59" s="99">
        <v>9320</v>
      </c>
      <c r="G59" s="99" t="s">
        <v>580</v>
      </c>
      <c r="H59" s="99" t="s">
        <v>1277</v>
      </c>
      <c r="I59" s="99" t="s">
        <v>415</v>
      </c>
      <c r="J59" s="99" t="s">
        <v>416</v>
      </c>
      <c r="K59" s="99" t="s">
        <v>1608</v>
      </c>
      <c r="L59" s="98">
        <v>22822</v>
      </c>
      <c r="M59" s="98">
        <v>22831</v>
      </c>
      <c r="N59" s="98">
        <v>22863</v>
      </c>
      <c r="O59" s="98">
        <v>22897</v>
      </c>
      <c r="P59" s="98">
        <v>23127</v>
      </c>
      <c r="Q59" s="100">
        <v>23151</v>
      </c>
      <c r="R59" s="100">
        <v>23358</v>
      </c>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row>
    <row r="60" spans="1:52" ht="14.4" x14ac:dyDescent="0.3">
      <c r="A60" s="98">
        <v>119511</v>
      </c>
      <c r="B60" s="99" t="s">
        <v>281</v>
      </c>
      <c r="C60" s="98">
        <v>104372</v>
      </c>
      <c r="D60" s="99" t="s">
        <v>1019</v>
      </c>
      <c r="E60" s="99" t="s">
        <v>1170</v>
      </c>
      <c r="F60" s="99">
        <v>8582</v>
      </c>
      <c r="G60" s="99" t="s">
        <v>1171</v>
      </c>
      <c r="H60" s="99" t="s">
        <v>1278</v>
      </c>
      <c r="I60" s="99" t="s">
        <v>1617</v>
      </c>
      <c r="J60" s="99" t="s">
        <v>1618</v>
      </c>
      <c r="K60" s="99" t="s">
        <v>1619</v>
      </c>
      <c r="L60" s="98">
        <v>18739</v>
      </c>
      <c r="M60" s="98">
        <v>18961</v>
      </c>
      <c r="N60" s="98">
        <v>18978</v>
      </c>
      <c r="O60" s="98">
        <v>18994</v>
      </c>
      <c r="P60" s="98">
        <v>104372</v>
      </c>
      <c r="Q60" s="98"/>
      <c r="R60" s="98"/>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ht="14.4" x14ac:dyDescent="0.3">
      <c r="A61" s="98">
        <v>119529</v>
      </c>
      <c r="B61" s="99" t="s">
        <v>111</v>
      </c>
      <c r="C61" s="98">
        <v>117879</v>
      </c>
      <c r="D61" s="99" t="s">
        <v>737</v>
      </c>
      <c r="E61" s="99" t="s">
        <v>1201</v>
      </c>
      <c r="F61" s="99">
        <v>2980</v>
      </c>
      <c r="G61" s="99" t="s">
        <v>465</v>
      </c>
      <c r="H61" s="99" t="s">
        <v>1279</v>
      </c>
      <c r="I61" s="99" t="s">
        <v>450</v>
      </c>
      <c r="J61" s="99" t="s">
        <v>451</v>
      </c>
      <c r="K61" s="99" t="s">
        <v>452</v>
      </c>
      <c r="L61" s="98">
        <v>7757</v>
      </c>
      <c r="M61" s="98">
        <v>7773</v>
      </c>
      <c r="N61" s="98">
        <v>117879</v>
      </c>
      <c r="O61" s="98"/>
      <c r="P61" s="98"/>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ht="14.4" x14ac:dyDescent="0.3">
      <c r="A62" s="98">
        <v>119545</v>
      </c>
      <c r="B62" s="99" t="s">
        <v>112</v>
      </c>
      <c r="C62" s="98">
        <v>10637</v>
      </c>
      <c r="D62" s="99" t="s">
        <v>831</v>
      </c>
      <c r="E62" s="99" t="s">
        <v>756</v>
      </c>
      <c r="F62" s="99">
        <v>2870</v>
      </c>
      <c r="G62" s="99" t="s">
        <v>645</v>
      </c>
      <c r="H62" s="99" t="s">
        <v>1280</v>
      </c>
      <c r="I62" s="99" t="s">
        <v>485</v>
      </c>
      <c r="J62" s="99" t="s">
        <v>486</v>
      </c>
      <c r="K62" s="99" t="s">
        <v>487</v>
      </c>
      <c r="L62" s="98">
        <v>10629</v>
      </c>
      <c r="M62" s="98">
        <v>10637</v>
      </c>
      <c r="N62" s="98">
        <v>10645</v>
      </c>
      <c r="O62" s="100">
        <v>10769</v>
      </c>
      <c r="P62" s="100">
        <v>10793</v>
      </c>
      <c r="Q62" s="100">
        <v>10819</v>
      </c>
      <c r="R62" s="100">
        <v>10827</v>
      </c>
      <c r="S62" s="100">
        <v>10835</v>
      </c>
      <c r="T62" s="100">
        <v>10884</v>
      </c>
      <c r="U62" s="100">
        <v>10892</v>
      </c>
      <c r="V62" s="100">
        <v>104571</v>
      </c>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14.4" x14ac:dyDescent="0.3">
      <c r="A63" s="98">
        <v>119552</v>
      </c>
      <c r="B63" s="99" t="s">
        <v>282</v>
      </c>
      <c r="C63" s="98">
        <v>110478</v>
      </c>
      <c r="D63" s="99" t="s">
        <v>1052</v>
      </c>
      <c r="E63" s="99" t="s">
        <v>1186</v>
      </c>
      <c r="F63" s="99">
        <v>8760</v>
      </c>
      <c r="G63" s="99" t="s">
        <v>1051</v>
      </c>
      <c r="H63" s="99" t="s">
        <v>1281</v>
      </c>
      <c r="I63" s="99" t="s">
        <v>1617</v>
      </c>
      <c r="J63" s="99" t="s">
        <v>1618</v>
      </c>
      <c r="K63" s="99" t="s">
        <v>1619</v>
      </c>
      <c r="L63" s="98">
        <v>20231</v>
      </c>
      <c r="M63" s="98">
        <v>20248</v>
      </c>
      <c r="N63" s="98">
        <v>20255</v>
      </c>
      <c r="O63" s="98">
        <v>20263</v>
      </c>
      <c r="P63" s="98">
        <v>20271</v>
      </c>
      <c r="Q63" s="98">
        <v>20289</v>
      </c>
      <c r="R63" s="98">
        <v>110478</v>
      </c>
      <c r="S63" s="98"/>
      <c r="T63" s="98"/>
      <c r="U63" s="98"/>
      <c r="V63" s="98"/>
      <c r="W63" s="98"/>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52" ht="14.4" x14ac:dyDescent="0.3">
      <c r="A64" s="98">
        <v>119561</v>
      </c>
      <c r="B64" s="99" t="s">
        <v>283</v>
      </c>
      <c r="C64" s="98">
        <v>18853</v>
      </c>
      <c r="D64" s="99" t="s">
        <v>633</v>
      </c>
      <c r="E64" s="99" t="s">
        <v>1026</v>
      </c>
      <c r="F64" s="99">
        <v>8550</v>
      </c>
      <c r="G64" s="99" t="s">
        <v>551</v>
      </c>
      <c r="H64" s="99" t="s">
        <v>1282</v>
      </c>
      <c r="I64" s="99" t="s">
        <v>1617</v>
      </c>
      <c r="J64" s="99" t="s">
        <v>1618</v>
      </c>
      <c r="K64" s="99" t="s">
        <v>1619</v>
      </c>
      <c r="L64" s="98">
        <v>18853</v>
      </c>
      <c r="M64" s="98">
        <v>18861</v>
      </c>
      <c r="N64" s="98">
        <v>18879</v>
      </c>
      <c r="O64" s="98">
        <v>19026</v>
      </c>
      <c r="P64" s="98">
        <v>19661</v>
      </c>
      <c r="Q64" s="98">
        <v>115873</v>
      </c>
      <c r="R64" s="98"/>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ht="14.4" x14ac:dyDescent="0.3">
      <c r="A65" s="98">
        <v>119578</v>
      </c>
      <c r="B65" s="99" t="s">
        <v>113</v>
      </c>
      <c r="C65" s="98">
        <v>9423</v>
      </c>
      <c r="D65" s="99" t="s">
        <v>659</v>
      </c>
      <c r="E65" s="99" t="s">
        <v>800</v>
      </c>
      <c r="F65" s="99">
        <v>2275</v>
      </c>
      <c r="G65" s="99" t="s">
        <v>801</v>
      </c>
      <c r="H65" s="99" t="s">
        <v>1283</v>
      </c>
      <c r="I65" s="99" t="s">
        <v>450</v>
      </c>
      <c r="J65" s="99" t="s">
        <v>451</v>
      </c>
      <c r="K65" s="99" t="s">
        <v>452</v>
      </c>
      <c r="L65" s="98">
        <v>8491</v>
      </c>
      <c r="M65" s="98">
        <v>9167</v>
      </c>
      <c r="N65" s="98">
        <v>9258</v>
      </c>
      <c r="O65" s="98">
        <v>9266</v>
      </c>
      <c r="P65" s="98">
        <v>9423</v>
      </c>
      <c r="Q65" s="98"/>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ht="14.4" x14ac:dyDescent="0.3">
      <c r="A66" s="98">
        <v>119586</v>
      </c>
      <c r="B66" s="99" t="s">
        <v>114</v>
      </c>
      <c r="C66" s="98">
        <v>7427</v>
      </c>
      <c r="D66" s="99" t="s">
        <v>723</v>
      </c>
      <c r="E66" s="99" t="s">
        <v>724</v>
      </c>
      <c r="F66" s="99">
        <v>2110</v>
      </c>
      <c r="G66" s="99" t="s">
        <v>460</v>
      </c>
      <c r="H66" s="99" t="s">
        <v>1284</v>
      </c>
      <c r="I66" s="99" t="s">
        <v>450</v>
      </c>
      <c r="J66" s="99" t="s">
        <v>451</v>
      </c>
      <c r="K66" s="99" t="s">
        <v>452</v>
      </c>
      <c r="L66" s="98">
        <v>7419</v>
      </c>
      <c r="M66" s="98">
        <v>7427</v>
      </c>
      <c r="N66" s="98">
        <v>8185</v>
      </c>
      <c r="O66" s="98"/>
      <c r="P66" s="98"/>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row>
    <row r="67" spans="1:52" ht="14.4" x14ac:dyDescent="0.3">
      <c r="A67" s="98">
        <v>119602</v>
      </c>
      <c r="B67" s="99" t="s">
        <v>115</v>
      </c>
      <c r="C67" s="98">
        <v>8847</v>
      </c>
      <c r="D67" s="99" t="s">
        <v>779</v>
      </c>
      <c r="E67" s="99" t="s">
        <v>780</v>
      </c>
      <c r="F67" s="99">
        <v>2360</v>
      </c>
      <c r="G67" s="99" t="s">
        <v>781</v>
      </c>
      <c r="H67" s="99" t="s">
        <v>1285</v>
      </c>
      <c r="I67" s="99" t="s">
        <v>450</v>
      </c>
      <c r="J67" s="99" t="s">
        <v>451</v>
      </c>
      <c r="K67" s="99" t="s">
        <v>452</v>
      </c>
      <c r="L67" s="98">
        <v>8847</v>
      </c>
      <c r="M67" s="98">
        <v>8854</v>
      </c>
      <c r="N67" s="98">
        <v>8862</v>
      </c>
      <c r="O67" s="100">
        <v>8871</v>
      </c>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row>
    <row r="68" spans="1:52" ht="14.4" x14ac:dyDescent="0.3">
      <c r="A68" s="98">
        <v>119636</v>
      </c>
      <c r="B68" s="99" t="s">
        <v>284</v>
      </c>
      <c r="C68" s="98">
        <v>5702</v>
      </c>
      <c r="D68" s="99" t="s">
        <v>682</v>
      </c>
      <c r="E68" s="99" t="s">
        <v>683</v>
      </c>
      <c r="F68" s="99">
        <v>1785</v>
      </c>
      <c r="G68" s="99" t="s">
        <v>684</v>
      </c>
      <c r="H68" s="99" t="s">
        <v>1286</v>
      </c>
      <c r="I68" s="99" t="s">
        <v>415</v>
      </c>
      <c r="J68" s="99" t="s">
        <v>416</v>
      </c>
      <c r="K68" s="99" t="s">
        <v>1608</v>
      </c>
      <c r="L68" s="98">
        <v>5702</v>
      </c>
      <c r="M68" s="98">
        <v>5728</v>
      </c>
      <c r="N68" s="98">
        <v>5736</v>
      </c>
      <c r="O68" s="100">
        <v>47035</v>
      </c>
      <c r="P68" s="100">
        <v>47985</v>
      </c>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ht="14.4" x14ac:dyDescent="0.3">
      <c r="A69" s="98">
        <v>119644</v>
      </c>
      <c r="B69" s="99" t="s">
        <v>116</v>
      </c>
      <c r="C69" s="98">
        <v>8912</v>
      </c>
      <c r="D69" s="99" t="s">
        <v>783</v>
      </c>
      <c r="E69" s="99" t="s">
        <v>784</v>
      </c>
      <c r="F69" s="99">
        <v>2380</v>
      </c>
      <c r="G69" s="99" t="s">
        <v>474</v>
      </c>
      <c r="H69" s="99" t="s">
        <v>1287</v>
      </c>
      <c r="I69" s="99" t="s">
        <v>450</v>
      </c>
      <c r="J69" s="99" t="s">
        <v>451</v>
      </c>
      <c r="K69" s="99" t="s">
        <v>452</v>
      </c>
      <c r="L69" s="98">
        <v>8912</v>
      </c>
      <c r="M69" s="98">
        <v>8953</v>
      </c>
      <c r="N69" s="98"/>
      <c r="O69" s="98"/>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row>
    <row r="70" spans="1:52" ht="14.4" x14ac:dyDescent="0.3">
      <c r="A70" s="98">
        <v>119651</v>
      </c>
      <c r="B70" s="99" t="s">
        <v>285</v>
      </c>
      <c r="C70" s="98">
        <v>9191</v>
      </c>
      <c r="D70" s="99" t="s">
        <v>758</v>
      </c>
      <c r="E70" s="99" t="s">
        <v>791</v>
      </c>
      <c r="F70" s="99">
        <v>2200</v>
      </c>
      <c r="G70" s="99" t="s">
        <v>792</v>
      </c>
      <c r="H70" s="99" t="s">
        <v>1288</v>
      </c>
      <c r="I70" s="99" t="s">
        <v>450</v>
      </c>
      <c r="J70" s="99" t="s">
        <v>451</v>
      </c>
      <c r="K70" s="99" t="s">
        <v>452</v>
      </c>
      <c r="L70" s="98">
        <v>8433</v>
      </c>
      <c r="M70" s="98">
        <v>8441</v>
      </c>
      <c r="N70" s="98">
        <v>9183</v>
      </c>
      <c r="O70" s="98">
        <v>9191</v>
      </c>
      <c r="P70" s="98">
        <v>9233</v>
      </c>
      <c r="Q70" s="100">
        <v>9241</v>
      </c>
      <c r="R70" s="100">
        <v>9291</v>
      </c>
      <c r="S70" s="100">
        <v>9308</v>
      </c>
      <c r="T70" s="100">
        <v>9324</v>
      </c>
      <c r="U70" s="100">
        <v>16782</v>
      </c>
      <c r="V70" s="100">
        <v>16816</v>
      </c>
      <c r="W70" s="100">
        <v>16824</v>
      </c>
      <c r="X70" s="100">
        <v>16832</v>
      </c>
      <c r="Y70" s="100">
        <v>104711</v>
      </c>
      <c r="Z70" s="100">
        <v>138347</v>
      </c>
      <c r="AA70" s="100">
        <v>138545</v>
      </c>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row>
    <row r="71" spans="1:52" ht="14.4" x14ac:dyDescent="0.3">
      <c r="A71" s="98">
        <v>119669</v>
      </c>
      <c r="B71" s="99" t="s">
        <v>117</v>
      </c>
      <c r="C71" s="98">
        <v>11874</v>
      </c>
      <c r="D71" s="99" t="s">
        <v>659</v>
      </c>
      <c r="E71" s="99" t="s">
        <v>863</v>
      </c>
      <c r="F71" s="99">
        <v>3140</v>
      </c>
      <c r="G71" s="99" t="s">
        <v>497</v>
      </c>
      <c r="H71" s="99" t="s">
        <v>1289</v>
      </c>
      <c r="I71" s="99" t="s">
        <v>415</v>
      </c>
      <c r="J71" s="99" t="s">
        <v>416</v>
      </c>
      <c r="K71" s="99" t="s">
        <v>1608</v>
      </c>
      <c r="L71" s="98">
        <v>11858</v>
      </c>
      <c r="M71" s="98">
        <v>11874</v>
      </c>
      <c r="N71" s="100">
        <v>12153</v>
      </c>
      <c r="O71" s="100">
        <v>12278</v>
      </c>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row>
    <row r="72" spans="1:52" ht="14.4" x14ac:dyDescent="0.3">
      <c r="A72" s="98">
        <v>119677</v>
      </c>
      <c r="B72" s="99" t="s">
        <v>286</v>
      </c>
      <c r="C72" s="98">
        <v>6511</v>
      </c>
      <c r="D72" s="99" t="s">
        <v>1550</v>
      </c>
      <c r="E72" s="99" t="s">
        <v>710</v>
      </c>
      <c r="F72" s="99">
        <v>2060</v>
      </c>
      <c r="G72" s="99" t="s">
        <v>449</v>
      </c>
      <c r="H72" s="99" t="s">
        <v>1290</v>
      </c>
      <c r="I72" s="99" t="s">
        <v>450</v>
      </c>
      <c r="J72" s="99" t="s">
        <v>451</v>
      </c>
      <c r="K72" s="99" t="s">
        <v>452</v>
      </c>
      <c r="L72" s="98">
        <v>6163</v>
      </c>
      <c r="M72" s="98">
        <v>6511</v>
      </c>
      <c r="N72" s="98">
        <v>6551</v>
      </c>
      <c r="O72" s="98">
        <v>7153</v>
      </c>
      <c r="P72" s="98">
        <v>7179</v>
      </c>
      <c r="Q72" s="98">
        <v>7195</v>
      </c>
      <c r="R72" s="98">
        <v>7229</v>
      </c>
      <c r="S72" s="98">
        <v>7252</v>
      </c>
      <c r="T72" s="98">
        <v>7261</v>
      </c>
      <c r="U72" s="98">
        <v>7294</v>
      </c>
      <c r="V72" s="98">
        <v>8111</v>
      </c>
      <c r="W72" s="98">
        <v>8128</v>
      </c>
      <c r="X72" s="98">
        <v>131052</v>
      </c>
      <c r="Y72" s="98">
        <v>132266</v>
      </c>
      <c r="Z72" s="98">
        <v>133595</v>
      </c>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row>
    <row r="73" spans="1:52" ht="14.4" x14ac:dyDescent="0.3">
      <c r="A73" s="123">
        <v>119693</v>
      </c>
      <c r="B73" s="124" t="s">
        <v>118</v>
      </c>
      <c r="C73" s="123">
        <v>111914</v>
      </c>
      <c r="D73" s="124" t="s">
        <v>612</v>
      </c>
      <c r="E73" s="124" t="s">
        <v>1188</v>
      </c>
      <c r="F73" s="124">
        <v>1150</v>
      </c>
      <c r="G73" s="124" t="s">
        <v>428</v>
      </c>
      <c r="H73" s="124" t="s">
        <v>1291</v>
      </c>
      <c r="I73" s="124" t="s">
        <v>438</v>
      </c>
      <c r="J73" s="124" t="s">
        <v>439</v>
      </c>
      <c r="K73" s="124" t="s">
        <v>440</v>
      </c>
      <c r="L73" s="123">
        <v>3831</v>
      </c>
      <c r="M73" s="123">
        <v>4325</v>
      </c>
      <c r="N73" s="123">
        <v>4366</v>
      </c>
      <c r="O73" s="123">
        <v>4531</v>
      </c>
      <c r="P73" s="123">
        <v>111914</v>
      </c>
      <c r="Q73" s="123">
        <v>129312</v>
      </c>
      <c r="R73" s="123">
        <v>132837</v>
      </c>
      <c r="S73" s="123"/>
      <c r="T73" s="123"/>
      <c r="U73" s="123"/>
      <c r="V73" s="123"/>
      <c r="W73" s="123"/>
      <c r="X73" s="123"/>
      <c r="Y73" s="123"/>
      <c r="Z73" s="123"/>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row>
    <row r="74" spans="1:52" ht="14.4" x14ac:dyDescent="0.3">
      <c r="A74" s="98">
        <v>119701</v>
      </c>
      <c r="B74" s="99" t="s">
        <v>287</v>
      </c>
      <c r="C74" s="98">
        <v>133603</v>
      </c>
      <c r="D74" s="99" t="s">
        <v>703</v>
      </c>
      <c r="E74" s="99" t="s">
        <v>1222</v>
      </c>
      <c r="F74" s="99">
        <v>2100</v>
      </c>
      <c r="G74" s="99" t="s">
        <v>720</v>
      </c>
      <c r="H74" s="99" t="s">
        <v>1292</v>
      </c>
      <c r="I74" s="99" t="s">
        <v>450</v>
      </c>
      <c r="J74" s="99" t="s">
        <v>451</v>
      </c>
      <c r="K74" s="99" t="s">
        <v>452</v>
      </c>
      <c r="L74" s="98">
        <v>6262</v>
      </c>
      <c r="M74" s="98">
        <v>7138</v>
      </c>
      <c r="N74" s="98">
        <v>7187</v>
      </c>
      <c r="O74" s="98">
        <v>7237</v>
      </c>
      <c r="P74" s="98">
        <v>8094</v>
      </c>
      <c r="Q74" s="98">
        <v>8102</v>
      </c>
      <c r="R74" s="98">
        <v>8144</v>
      </c>
      <c r="S74" s="98">
        <v>10231</v>
      </c>
      <c r="T74" s="100">
        <v>10249</v>
      </c>
      <c r="U74" s="100">
        <v>10256</v>
      </c>
      <c r="V74" s="100">
        <v>10264</v>
      </c>
      <c r="W74" s="100">
        <v>46797</v>
      </c>
      <c r="X74" s="100">
        <v>129254</v>
      </c>
      <c r="Y74" s="100">
        <v>129619</v>
      </c>
      <c r="Z74" s="100">
        <v>130195</v>
      </c>
      <c r="AA74" s="100">
        <v>133603</v>
      </c>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row>
    <row r="75" spans="1:52" ht="14.4" x14ac:dyDescent="0.3">
      <c r="A75" s="98">
        <v>119719</v>
      </c>
      <c r="B75" s="99" t="s">
        <v>119</v>
      </c>
      <c r="C75" s="98">
        <v>4671</v>
      </c>
      <c r="D75" s="99" t="s">
        <v>636</v>
      </c>
      <c r="E75" s="99" t="s">
        <v>637</v>
      </c>
      <c r="F75" s="99">
        <v>1653</v>
      </c>
      <c r="G75" s="99" t="s">
        <v>638</v>
      </c>
      <c r="H75" s="99" t="s">
        <v>1293</v>
      </c>
      <c r="I75" s="99" t="s">
        <v>415</v>
      </c>
      <c r="J75" s="99" t="s">
        <v>416</v>
      </c>
      <c r="K75" s="99" t="s">
        <v>1608</v>
      </c>
      <c r="L75" s="98">
        <v>4663</v>
      </c>
      <c r="M75" s="98">
        <v>4671</v>
      </c>
      <c r="N75" s="98">
        <v>4929</v>
      </c>
      <c r="O75" s="98">
        <v>103887</v>
      </c>
      <c r="P75" s="98"/>
      <c r="Q75" s="98"/>
      <c r="R75" s="98"/>
      <c r="S75" s="98"/>
      <c r="T75" s="98"/>
      <c r="U75" s="98"/>
      <c r="V75" s="98"/>
      <c r="W75" s="98"/>
      <c r="X75" s="98"/>
      <c r="Y75" s="98"/>
      <c r="Z75" s="98"/>
      <c r="AA75" s="98"/>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row>
    <row r="76" spans="1:52" ht="14.4" x14ac:dyDescent="0.3">
      <c r="A76" s="98">
        <v>119727</v>
      </c>
      <c r="B76" s="99" t="s">
        <v>120</v>
      </c>
      <c r="C76" s="98">
        <v>12641</v>
      </c>
      <c r="D76" s="99" t="s">
        <v>873</v>
      </c>
      <c r="E76" s="99" t="s">
        <v>886</v>
      </c>
      <c r="F76" s="99">
        <v>1910</v>
      </c>
      <c r="G76" s="99" t="s">
        <v>887</v>
      </c>
      <c r="H76" s="99" t="s">
        <v>1294</v>
      </c>
      <c r="I76" s="99" t="s">
        <v>415</v>
      </c>
      <c r="J76" s="99" t="s">
        <v>416</v>
      </c>
      <c r="K76" s="99" t="s">
        <v>1608</v>
      </c>
      <c r="L76" s="98">
        <v>12071</v>
      </c>
      <c r="M76" s="98">
        <v>12112</v>
      </c>
      <c r="N76" s="98">
        <v>12625</v>
      </c>
      <c r="O76" s="98">
        <v>12641</v>
      </c>
      <c r="P76" s="100">
        <v>124156</v>
      </c>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row>
    <row r="77" spans="1:52" ht="14.4" x14ac:dyDescent="0.3">
      <c r="A77" s="98">
        <v>119735</v>
      </c>
      <c r="B77" s="99" t="s">
        <v>288</v>
      </c>
      <c r="C77" s="98">
        <v>61754</v>
      </c>
      <c r="D77" s="99" t="s">
        <v>701</v>
      </c>
      <c r="E77" s="99" t="s">
        <v>1168</v>
      </c>
      <c r="F77" s="99">
        <v>2030</v>
      </c>
      <c r="G77" s="99" t="s">
        <v>449</v>
      </c>
      <c r="H77" s="99" t="s">
        <v>1295</v>
      </c>
      <c r="I77" s="99" t="s">
        <v>450</v>
      </c>
      <c r="J77" s="99" t="s">
        <v>451</v>
      </c>
      <c r="K77" s="99" t="s">
        <v>452</v>
      </c>
      <c r="L77" s="98">
        <v>6205</v>
      </c>
      <c r="M77" s="98">
        <v>6437</v>
      </c>
      <c r="N77" s="98">
        <v>6445</v>
      </c>
      <c r="O77" s="98">
        <v>6726</v>
      </c>
      <c r="P77" s="98">
        <v>6767</v>
      </c>
      <c r="Q77" s="100">
        <v>6775</v>
      </c>
      <c r="R77" s="100">
        <v>6941</v>
      </c>
      <c r="S77" s="100">
        <v>7245</v>
      </c>
      <c r="T77" s="100">
        <v>61754</v>
      </c>
      <c r="U77" s="100">
        <v>128702</v>
      </c>
      <c r="V77" s="100">
        <v>129098</v>
      </c>
      <c r="W77" s="100">
        <v>129627</v>
      </c>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row>
    <row r="78" spans="1:52" ht="14.4" x14ac:dyDescent="0.3">
      <c r="A78" s="98">
        <v>119751</v>
      </c>
      <c r="B78" s="99" t="s">
        <v>289</v>
      </c>
      <c r="C78" s="98">
        <v>6213</v>
      </c>
      <c r="D78" s="99" t="s">
        <v>696</v>
      </c>
      <c r="E78" s="99" t="s">
        <v>702</v>
      </c>
      <c r="F78" s="99">
        <v>2000</v>
      </c>
      <c r="G78" s="99" t="s">
        <v>449</v>
      </c>
      <c r="H78" s="99" t="s">
        <v>1296</v>
      </c>
      <c r="I78" s="99" t="s">
        <v>450</v>
      </c>
      <c r="J78" s="99" t="s">
        <v>451</v>
      </c>
      <c r="K78" s="99" t="s">
        <v>452</v>
      </c>
      <c r="L78" s="98">
        <v>6031</v>
      </c>
      <c r="M78" s="98">
        <v>6171</v>
      </c>
      <c r="N78" s="98">
        <v>6189</v>
      </c>
      <c r="O78" s="98">
        <v>6197</v>
      </c>
      <c r="P78" s="98">
        <v>6213</v>
      </c>
      <c r="Q78" s="98">
        <v>6247</v>
      </c>
      <c r="R78" s="98">
        <v>6254</v>
      </c>
      <c r="S78" s="98">
        <v>6271</v>
      </c>
      <c r="T78" s="98">
        <v>6593</v>
      </c>
      <c r="U78" s="98">
        <v>6817</v>
      </c>
      <c r="V78" s="98">
        <v>113217</v>
      </c>
      <c r="W78" s="98">
        <v>129081</v>
      </c>
      <c r="X78" s="100">
        <v>144683</v>
      </c>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row>
    <row r="79" spans="1:52" ht="14.4" x14ac:dyDescent="0.3">
      <c r="A79" s="98">
        <v>119768</v>
      </c>
      <c r="B79" s="99" t="s">
        <v>290</v>
      </c>
      <c r="C79" s="98">
        <v>6643</v>
      </c>
      <c r="D79" s="99" t="s">
        <v>709</v>
      </c>
      <c r="E79" s="99" t="s">
        <v>711</v>
      </c>
      <c r="F79" s="99">
        <v>2020</v>
      </c>
      <c r="G79" s="99" t="s">
        <v>449</v>
      </c>
      <c r="H79" s="99" t="s">
        <v>1297</v>
      </c>
      <c r="I79" s="99" t="s">
        <v>450</v>
      </c>
      <c r="J79" s="99" t="s">
        <v>451</v>
      </c>
      <c r="K79" s="99" t="s">
        <v>452</v>
      </c>
      <c r="L79" s="98">
        <v>6502</v>
      </c>
      <c r="M79" s="98">
        <v>6536</v>
      </c>
      <c r="N79" s="98">
        <v>6635</v>
      </c>
      <c r="O79" s="98">
        <v>6643</v>
      </c>
      <c r="P79" s="98">
        <v>6651</v>
      </c>
      <c r="Q79" s="98">
        <v>10223</v>
      </c>
      <c r="R79" s="98">
        <v>10371</v>
      </c>
      <c r="S79" s="98">
        <v>10397</v>
      </c>
      <c r="T79" s="98">
        <v>11114</v>
      </c>
      <c r="U79" s="98">
        <v>11131</v>
      </c>
      <c r="V79" s="98">
        <v>11148</v>
      </c>
      <c r="W79" s="98">
        <v>11155</v>
      </c>
      <c r="X79" s="98">
        <v>129635</v>
      </c>
      <c r="Y79" s="100">
        <v>131045</v>
      </c>
      <c r="Z79" s="100">
        <v>132282</v>
      </c>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row>
    <row r="80" spans="1:52" ht="14.4" x14ac:dyDescent="0.3">
      <c r="A80" s="98">
        <v>119776</v>
      </c>
      <c r="B80" s="99" t="s">
        <v>217</v>
      </c>
      <c r="C80" s="98">
        <v>13995</v>
      </c>
      <c r="D80" s="99" t="s">
        <v>1551</v>
      </c>
      <c r="E80" s="99" t="s">
        <v>913</v>
      </c>
      <c r="F80" s="99">
        <v>3511</v>
      </c>
      <c r="G80" s="99" t="s">
        <v>914</v>
      </c>
      <c r="H80" s="99" t="s">
        <v>1298</v>
      </c>
      <c r="I80" s="99" t="s">
        <v>1620</v>
      </c>
      <c r="J80" s="99" t="s">
        <v>1621</v>
      </c>
      <c r="K80" s="99" t="s">
        <v>1622</v>
      </c>
      <c r="L80" s="98">
        <v>13904</v>
      </c>
      <c r="M80" s="98">
        <v>13961</v>
      </c>
      <c r="N80" s="98">
        <v>13995</v>
      </c>
      <c r="O80" s="98">
        <v>53967</v>
      </c>
      <c r="P80" s="98">
        <v>126326</v>
      </c>
      <c r="Q80" s="98"/>
      <c r="R80" s="98"/>
      <c r="S80" s="98"/>
      <c r="T80" s="98"/>
      <c r="U80" s="98"/>
      <c r="V80" s="98"/>
      <c r="W80" s="98"/>
      <c r="X80" s="98"/>
      <c r="Y80" s="98"/>
      <c r="Z80" s="98"/>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row>
    <row r="81" spans="1:52" ht="14.4" x14ac:dyDescent="0.3">
      <c r="A81" s="98">
        <v>119784</v>
      </c>
      <c r="B81" s="99" t="s">
        <v>121</v>
      </c>
      <c r="C81" s="98">
        <v>7658</v>
      </c>
      <c r="D81" s="99" t="s">
        <v>699</v>
      </c>
      <c r="E81" s="99" t="s">
        <v>731</v>
      </c>
      <c r="F81" s="99">
        <v>2930</v>
      </c>
      <c r="G81" s="99" t="s">
        <v>464</v>
      </c>
      <c r="H81" s="99" t="s">
        <v>1299</v>
      </c>
      <c r="I81" s="99" t="s">
        <v>450</v>
      </c>
      <c r="J81" s="99" t="s">
        <v>451</v>
      </c>
      <c r="K81" s="99" t="s">
        <v>452</v>
      </c>
      <c r="L81" s="98">
        <v>6114</v>
      </c>
      <c r="M81" s="98">
        <v>6122</v>
      </c>
      <c r="N81" s="98">
        <v>6882</v>
      </c>
      <c r="O81" s="98">
        <v>7492</v>
      </c>
      <c r="P81" s="98">
        <v>7617</v>
      </c>
      <c r="Q81" s="100">
        <v>7633</v>
      </c>
      <c r="R81" s="100">
        <v>7658</v>
      </c>
      <c r="S81" s="100">
        <v>7724</v>
      </c>
      <c r="T81" s="100">
        <v>8243</v>
      </c>
      <c r="U81" s="100">
        <v>10306</v>
      </c>
      <c r="V81" s="100">
        <v>10348</v>
      </c>
      <c r="W81" s="100">
        <v>61424</v>
      </c>
      <c r="X81" s="100">
        <v>110551</v>
      </c>
      <c r="Y81" s="100">
        <v>127084</v>
      </c>
      <c r="Z81" s="100">
        <v>131061</v>
      </c>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row>
    <row r="82" spans="1:52" ht="14.4" x14ac:dyDescent="0.3">
      <c r="A82" s="98">
        <v>119792</v>
      </c>
      <c r="B82" s="99" t="s">
        <v>291</v>
      </c>
      <c r="C82" s="98">
        <v>18697</v>
      </c>
      <c r="D82" s="99" t="s">
        <v>1016</v>
      </c>
      <c r="E82" s="99" t="s">
        <v>1017</v>
      </c>
      <c r="F82" s="99">
        <v>8500</v>
      </c>
      <c r="G82" s="99" t="s">
        <v>547</v>
      </c>
      <c r="H82" s="99" t="s">
        <v>1300</v>
      </c>
      <c r="I82" s="99" t="s">
        <v>1617</v>
      </c>
      <c r="J82" s="99" t="s">
        <v>1618</v>
      </c>
      <c r="K82" s="99" t="s">
        <v>1619</v>
      </c>
      <c r="L82" s="98">
        <v>18689</v>
      </c>
      <c r="M82" s="98">
        <v>18697</v>
      </c>
      <c r="N82" s="98">
        <v>18754</v>
      </c>
      <c r="O82" s="98"/>
      <c r="P82" s="98"/>
      <c r="Q82" s="98"/>
      <c r="R82" s="98"/>
      <c r="S82" s="98"/>
      <c r="T82" s="98"/>
      <c r="U82" s="98"/>
      <c r="V82" s="98"/>
      <c r="W82" s="98"/>
      <c r="X82" s="98"/>
      <c r="Y82" s="98"/>
      <c r="Z82" s="98"/>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row>
    <row r="83" spans="1:52" ht="14.4" x14ac:dyDescent="0.3">
      <c r="A83" s="98">
        <v>119801</v>
      </c>
      <c r="B83" s="99" t="s">
        <v>122</v>
      </c>
      <c r="C83" s="98">
        <v>128504</v>
      </c>
      <c r="D83" s="99" t="s">
        <v>1204</v>
      </c>
      <c r="E83" s="99" t="s">
        <v>1216</v>
      </c>
      <c r="F83" s="99">
        <v>8940</v>
      </c>
      <c r="G83" s="99" t="s">
        <v>554</v>
      </c>
      <c r="H83" s="99" t="s">
        <v>1301</v>
      </c>
      <c r="I83" s="99" t="s">
        <v>1617</v>
      </c>
      <c r="J83" s="99" t="s">
        <v>1618</v>
      </c>
      <c r="K83" s="99" t="s">
        <v>1619</v>
      </c>
      <c r="L83" s="98">
        <v>118571</v>
      </c>
      <c r="M83" s="98">
        <v>118588</v>
      </c>
      <c r="N83" s="98">
        <v>128504</v>
      </c>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row>
    <row r="84" spans="1:52" ht="14.4" x14ac:dyDescent="0.3">
      <c r="A84" s="98">
        <v>119818</v>
      </c>
      <c r="B84" s="99" t="s">
        <v>292</v>
      </c>
      <c r="C84" s="98">
        <v>19216</v>
      </c>
      <c r="D84" s="99" t="s">
        <v>633</v>
      </c>
      <c r="E84" s="99" t="s">
        <v>1029</v>
      </c>
      <c r="F84" s="99">
        <v>8560</v>
      </c>
      <c r="G84" s="99" t="s">
        <v>1028</v>
      </c>
      <c r="H84" s="99" t="s">
        <v>1302</v>
      </c>
      <c r="I84" s="99" t="s">
        <v>1617</v>
      </c>
      <c r="J84" s="99" t="s">
        <v>1618</v>
      </c>
      <c r="K84" s="99" t="s">
        <v>1619</v>
      </c>
      <c r="L84" s="98">
        <v>19117</v>
      </c>
      <c r="M84" s="98">
        <v>19125</v>
      </c>
      <c r="N84" s="98">
        <v>19133</v>
      </c>
      <c r="O84" s="100">
        <v>19174</v>
      </c>
      <c r="P84" s="100">
        <v>19182</v>
      </c>
      <c r="Q84" s="100">
        <v>19191</v>
      </c>
      <c r="R84" s="100">
        <v>19208</v>
      </c>
      <c r="S84" s="100">
        <v>19216</v>
      </c>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row>
    <row r="85" spans="1:52" ht="14.4" x14ac:dyDescent="0.3">
      <c r="A85" s="98">
        <v>119826</v>
      </c>
      <c r="B85" s="99" t="s">
        <v>123</v>
      </c>
      <c r="C85" s="98">
        <v>2279</v>
      </c>
      <c r="D85" s="99" t="s">
        <v>539</v>
      </c>
      <c r="E85" s="99" t="s">
        <v>544</v>
      </c>
      <c r="F85" s="99">
        <v>8670</v>
      </c>
      <c r="G85" s="99" t="s">
        <v>545</v>
      </c>
      <c r="H85" s="99" t="s">
        <v>1303</v>
      </c>
      <c r="I85" s="99" t="s">
        <v>1617</v>
      </c>
      <c r="J85" s="99" t="s">
        <v>1618</v>
      </c>
      <c r="K85" s="99" t="s">
        <v>1619</v>
      </c>
      <c r="L85" s="98">
        <v>2048</v>
      </c>
      <c r="M85" s="98">
        <v>2261</v>
      </c>
      <c r="N85" s="98">
        <v>2279</v>
      </c>
      <c r="O85" s="98">
        <v>2287</v>
      </c>
      <c r="P85" s="98">
        <v>2295</v>
      </c>
      <c r="Q85" s="98">
        <v>2411</v>
      </c>
      <c r="R85" s="98">
        <v>2551</v>
      </c>
      <c r="S85" s="98">
        <v>2576</v>
      </c>
      <c r="T85" s="100">
        <v>2584</v>
      </c>
      <c r="U85" s="100">
        <v>2592</v>
      </c>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row>
    <row r="86" spans="1:52" ht="14.4" x14ac:dyDescent="0.3">
      <c r="A86" s="98">
        <v>119834</v>
      </c>
      <c r="B86" s="99" t="s">
        <v>249</v>
      </c>
      <c r="C86" s="98">
        <v>2139</v>
      </c>
      <c r="D86" s="99" t="s">
        <v>523</v>
      </c>
      <c r="E86" s="99" t="s">
        <v>541</v>
      </c>
      <c r="F86" s="99">
        <v>8680</v>
      </c>
      <c r="G86" s="99" t="s">
        <v>542</v>
      </c>
      <c r="H86" s="99" t="s">
        <v>1304</v>
      </c>
      <c r="I86" s="99" t="s">
        <v>485</v>
      </c>
      <c r="J86" s="99" t="s">
        <v>486</v>
      </c>
      <c r="K86" s="99" t="s">
        <v>487</v>
      </c>
      <c r="L86" s="98">
        <v>2105</v>
      </c>
      <c r="M86" s="98">
        <v>2113</v>
      </c>
      <c r="N86" s="98">
        <v>2139</v>
      </c>
      <c r="O86" s="98">
        <v>2204</v>
      </c>
      <c r="P86" s="98">
        <v>2212</v>
      </c>
      <c r="Q86" s="98">
        <v>2221</v>
      </c>
      <c r="R86" s="98">
        <v>18093</v>
      </c>
      <c r="S86" s="98">
        <v>18119</v>
      </c>
      <c r="T86" s="98">
        <v>18127</v>
      </c>
      <c r="U86" s="98">
        <v>18135</v>
      </c>
      <c r="V86" s="98">
        <v>18143</v>
      </c>
      <c r="W86" s="100">
        <v>106161</v>
      </c>
      <c r="X86" s="100">
        <v>110643</v>
      </c>
      <c r="Y86" s="100">
        <v>110692</v>
      </c>
      <c r="Z86" s="100">
        <v>131491</v>
      </c>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row>
    <row r="87" spans="1:52" ht="14.4" x14ac:dyDescent="0.3">
      <c r="A87" s="98">
        <v>119842</v>
      </c>
      <c r="B87" s="99" t="s">
        <v>293</v>
      </c>
      <c r="C87" s="98">
        <v>14481</v>
      </c>
      <c r="D87" s="99" t="s">
        <v>929</v>
      </c>
      <c r="E87" s="99" t="s">
        <v>930</v>
      </c>
      <c r="F87" s="99">
        <v>3900</v>
      </c>
      <c r="G87" s="99" t="s">
        <v>517</v>
      </c>
      <c r="H87" s="99" t="s">
        <v>1305</v>
      </c>
      <c r="I87" s="99" t="s">
        <v>1620</v>
      </c>
      <c r="J87" s="99" t="s">
        <v>1621</v>
      </c>
      <c r="K87" s="99" t="s">
        <v>1622</v>
      </c>
      <c r="L87" s="98">
        <v>14481</v>
      </c>
      <c r="M87" s="98">
        <v>14498</v>
      </c>
      <c r="N87" s="98">
        <v>14506</v>
      </c>
      <c r="O87" s="98">
        <v>144741</v>
      </c>
      <c r="P87" s="98"/>
      <c r="Q87" s="98"/>
      <c r="R87" s="98"/>
      <c r="S87" s="98"/>
      <c r="T87" s="98"/>
      <c r="U87" s="98"/>
      <c r="V87" s="98"/>
      <c r="W87" s="98"/>
      <c r="X87" s="98"/>
      <c r="Y87" s="98"/>
      <c r="Z87" s="98"/>
      <c r="AA87" s="98"/>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row>
    <row r="88" spans="1:52" ht="14.4" x14ac:dyDescent="0.3">
      <c r="A88" s="98">
        <v>119859</v>
      </c>
      <c r="B88" s="99" t="s">
        <v>124</v>
      </c>
      <c r="C88" s="98">
        <v>17764</v>
      </c>
      <c r="D88" s="99" t="s">
        <v>1552</v>
      </c>
      <c r="E88" s="99" t="s">
        <v>998</v>
      </c>
      <c r="F88" s="99">
        <v>8480</v>
      </c>
      <c r="G88" s="99" t="s">
        <v>999</v>
      </c>
      <c r="H88" s="99" t="s">
        <v>1306</v>
      </c>
      <c r="I88" s="99" t="s">
        <v>1617</v>
      </c>
      <c r="J88" s="99" t="s">
        <v>1618</v>
      </c>
      <c r="K88" s="99" t="s">
        <v>1619</v>
      </c>
      <c r="L88" s="98">
        <v>17699</v>
      </c>
      <c r="M88" s="98">
        <v>17715</v>
      </c>
      <c r="N88" s="98">
        <v>17723</v>
      </c>
      <c r="O88" s="100">
        <v>17764</v>
      </c>
      <c r="P88" s="100">
        <v>128587</v>
      </c>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row>
    <row r="89" spans="1:52" ht="14.4" x14ac:dyDescent="0.3">
      <c r="A89" s="98">
        <v>119867</v>
      </c>
      <c r="B89" s="99" t="s">
        <v>1553</v>
      </c>
      <c r="C89" s="98">
        <v>14175</v>
      </c>
      <c r="D89" s="99" t="s">
        <v>920</v>
      </c>
      <c r="E89" s="99" t="s">
        <v>921</v>
      </c>
      <c r="F89" s="99">
        <v>3550</v>
      </c>
      <c r="G89" s="99" t="s">
        <v>922</v>
      </c>
      <c r="H89" s="99" t="s">
        <v>1307</v>
      </c>
      <c r="I89" s="99" t="s">
        <v>1620</v>
      </c>
      <c r="J89" s="99" t="s">
        <v>1621</v>
      </c>
      <c r="K89" s="99" t="s">
        <v>1622</v>
      </c>
      <c r="L89" s="98">
        <v>14175</v>
      </c>
      <c r="M89" s="98">
        <v>14183</v>
      </c>
      <c r="N89" s="98">
        <v>14191</v>
      </c>
      <c r="O89" s="98">
        <v>14209</v>
      </c>
      <c r="P89" s="98">
        <v>14217</v>
      </c>
      <c r="Q89" s="100">
        <v>14225</v>
      </c>
      <c r="R89" s="100">
        <v>14233</v>
      </c>
      <c r="S89" s="100">
        <v>14241</v>
      </c>
      <c r="T89" s="100">
        <v>14258</v>
      </c>
      <c r="U89" s="100">
        <v>14266</v>
      </c>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row>
    <row r="90" spans="1:52" ht="14.4" x14ac:dyDescent="0.3">
      <c r="A90" s="98">
        <v>119875</v>
      </c>
      <c r="B90" s="99" t="s">
        <v>234</v>
      </c>
      <c r="C90" s="98">
        <v>15776</v>
      </c>
      <c r="D90" s="99" t="s">
        <v>749</v>
      </c>
      <c r="E90" s="99" t="s">
        <v>954</v>
      </c>
      <c r="F90" s="99">
        <v>3770</v>
      </c>
      <c r="G90" s="99" t="s">
        <v>953</v>
      </c>
      <c r="H90" s="99" t="s">
        <v>1308</v>
      </c>
      <c r="I90" s="99" t="s">
        <v>1620</v>
      </c>
      <c r="J90" s="99" t="s">
        <v>1621</v>
      </c>
      <c r="K90" s="99" t="s">
        <v>1622</v>
      </c>
      <c r="L90" s="98">
        <v>15487</v>
      </c>
      <c r="M90" s="98">
        <v>15677</v>
      </c>
      <c r="N90" s="98">
        <v>15751</v>
      </c>
      <c r="O90" s="98">
        <v>15776</v>
      </c>
      <c r="P90" s="98">
        <v>15875</v>
      </c>
      <c r="Q90" s="98">
        <v>15891</v>
      </c>
      <c r="R90" s="98">
        <v>15909</v>
      </c>
      <c r="S90" s="98">
        <v>15958</v>
      </c>
      <c r="T90" s="98">
        <v>53975</v>
      </c>
      <c r="U90" s="98">
        <v>110213</v>
      </c>
      <c r="V90" s="98"/>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row>
    <row r="91" spans="1:52" ht="14.4" x14ac:dyDescent="0.3">
      <c r="A91" s="98">
        <v>119891</v>
      </c>
      <c r="B91" s="99" t="s">
        <v>125</v>
      </c>
      <c r="C91" s="98">
        <v>13896</v>
      </c>
      <c r="D91" s="99" t="s">
        <v>910</v>
      </c>
      <c r="E91" s="99" t="s">
        <v>911</v>
      </c>
      <c r="F91" s="99">
        <v>3500</v>
      </c>
      <c r="G91" s="99" t="s">
        <v>509</v>
      </c>
      <c r="H91" s="99" t="s">
        <v>1309</v>
      </c>
      <c r="I91" s="99" t="s">
        <v>1620</v>
      </c>
      <c r="J91" s="99" t="s">
        <v>1621</v>
      </c>
      <c r="K91" s="99" t="s">
        <v>1622</v>
      </c>
      <c r="L91" s="98">
        <v>13862</v>
      </c>
      <c r="M91" s="98">
        <v>13888</v>
      </c>
      <c r="N91" s="98">
        <v>13896</v>
      </c>
      <c r="O91" s="98">
        <v>13953</v>
      </c>
      <c r="P91" s="98">
        <v>16105</v>
      </c>
      <c r="Q91" s="98">
        <v>16113</v>
      </c>
      <c r="R91" s="98">
        <v>16171</v>
      </c>
      <c r="S91" s="98">
        <v>16493</v>
      </c>
      <c r="T91" s="98"/>
      <c r="U91" s="98"/>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row>
    <row r="92" spans="1:52" ht="14.4" x14ac:dyDescent="0.3">
      <c r="A92" s="98">
        <v>119917</v>
      </c>
      <c r="B92" s="99" t="s">
        <v>126</v>
      </c>
      <c r="C92" s="98">
        <v>17368</v>
      </c>
      <c r="D92" s="99" t="s">
        <v>660</v>
      </c>
      <c r="E92" s="99" t="s">
        <v>986</v>
      </c>
      <c r="F92" s="99">
        <v>8840</v>
      </c>
      <c r="G92" s="99" t="s">
        <v>537</v>
      </c>
      <c r="H92" s="99" t="s">
        <v>1310</v>
      </c>
      <c r="I92" s="99" t="s">
        <v>1617</v>
      </c>
      <c r="J92" s="99" t="s">
        <v>1618</v>
      </c>
      <c r="K92" s="99" t="s">
        <v>1619</v>
      </c>
      <c r="L92" s="98">
        <v>15206</v>
      </c>
      <c r="M92" s="98">
        <v>17368</v>
      </c>
      <c r="N92" s="98">
        <v>20131</v>
      </c>
      <c r="O92" s="98">
        <v>20164</v>
      </c>
      <c r="P92" s="98">
        <v>128595</v>
      </c>
      <c r="Q92" s="98">
        <v>138371</v>
      </c>
      <c r="R92" s="98"/>
      <c r="S92" s="98"/>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row>
    <row r="93" spans="1:52" ht="14.4" x14ac:dyDescent="0.3">
      <c r="A93" s="98">
        <v>119925</v>
      </c>
      <c r="B93" s="99" t="s">
        <v>127</v>
      </c>
      <c r="C93" s="98">
        <v>48009</v>
      </c>
      <c r="D93" s="99" t="s">
        <v>1627</v>
      </c>
      <c r="E93" s="99" t="s">
        <v>1161</v>
      </c>
      <c r="F93" s="99">
        <v>2610</v>
      </c>
      <c r="G93" s="99" t="s">
        <v>484</v>
      </c>
      <c r="H93" s="99" t="s">
        <v>1311</v>
      </c>
      <c r="I93" s="99" t="s">
        <v>485</v>
      </c>
      <c r="J93" s="99" t="s">
        <v>486</v>
      </c>
      <c r="K93" s="99" t="s">
        <v>487</v>
      </c>
      <c r="L93" s="98">
        <v>44628</v>
      </c>
      <c r="M93" s="98">
        <v>44651</v>
      </c>
      <c r="N93" s="98">
        <v>45294</v>
      </c>
      <c r="O93" s="98">
        <v>46185</v>
      </c>
      <c r="P93" s="98">
        <v>46755</v>
      </c>
      <c r="Q93" s="98">
        <v>47522</v>
      </c>
      <c r="R93" s="100">
        <v>48009</v>
      </c>
      <c r="S93" s="100">
        <v>114091</v>
      </c>
      <c r="T93" s="100">
        <v>124164</v>
      </c>
      <c r="U93" s="100">
        <v>124172</v>
      </c>
      <c r="V93" s="100">
        <v>128141</v>
      </c>
      <c r="W93" s="100">
        <v>128819</v>
      </c>
      <c r="X93" s="100">
        <v>131441</v>
      </c>
      <c r="Y93" s="100">
        <v>131508</v>
      </c>
      <c r="Z93" s="100">
        <v>133471</v>
      </c>
      <c r="AA93" s="100">
        <v>137521</v>
      </c>
      <c r="AB93" s="100">
        <v>137653</v>
      </c>
      <c r="AC93" s="100">
        <v>143768</v>
      </c>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row>
    <row r="94" spans="1:52" ht="14.4" x14ac:dyDescent="0.3">
      <c r="A94" s="98">
        <v>119933</v>
      </c>
      <c r="B94" s="99" t="s">
        <v>294</v>
      </c>
      <c r="C94" s="98">
        <v>11569</v>
      </c>
      <c r="D94" s="99" t="s">
        <v>635</v>
      </c>
      <c r="E94" s="99" t="s">
        <v>855</v>
      </c>
      <c r="F94" s="99">
        <v>2800</v>
      </c>
      <c r="G94" s="99" t="s">
        <v>495</v>
      </c>
      <c r="H94" s="99" t="s">
        <v>1312</v>
      </c>
      <c r="I94" s="99" t="s">
        <v>485</v>
      </c>
      <c r="J94" s="99" t="s">
        <v>486</v>
      </c>
      <c r="K94" s="99" t="s">
        <v>487</v>
      </c>
      <c r="L94" s="98">
        <v>10141</v>
      </c>
      <c r="M94" s="98">
        <v>10661</v>
      </c>
      <c r="N94" s="98">
        <v>11551</v>
      </c>
      <c r="O94" s="98">
        <v>11569</v>
      </c>
      <c r="P94" s="98">
        <v>11585</v>
      </c>
      <c r="Q94" s="98">
        <v>11619</v>
      </c>
      <c r="R94" s="98">
        <v>11635</v>
      </c>
      <c r="S94" s="98">
        <v>11651</v>
      </c>
      <c r="T94" s="98">
        <v>11825</v>
      </c>
      <c r="U94" s="98">
        <v>12062</v>
      </c>
      <c r="V94" s="98">
        <v>12104</v>
      </c>
      <c r="W94" s="98">
        <v>45278</v>
      </c>
      <c r="X94" s="98">
        <v>45286</v>
      </c>
      <c r="Y94" s="98">
        <v>118521</v>
      </c>
      <c r="Z94" s="98">
        <v>125104</v>
      </c>
      <c r="AA94" s="98">
        <v>126342</v>
      </c>
      <c r="AB94" s="98">
        <v>143611</v>
      </c>
      <c r="AC94" s="98"/>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row>
    <row r="95" spans="1:52" ht="14.4" x14ac:dyDescent="0.3">
      <c r="A95" s="98">
        <v>119941</v>
      </c>
      <c r="B95" s="99" t="s">
        <v>128</v>
      </c>
      <c r="C95" s="98">
        <v>17152</v>
      </c>
      <c r="D95" s="99" t="s">
        <v>979</v>
      </c>
      <c r="E95" s="99" t="s">
        <v>980</v>
      </c>
      <c r="F95" s="99">
        <v>8750</v>
      </c>
      <c r="G95" s="99" t="s">
        <v>978</v>
      </c>
      <c r="H95" s="99" t="s">
        <v>1313</v>
      </c>
      <c r="I95" s="99" t="s">
        <v>1617</v>
      </c>
      <c r="J95" s="99" t="s">
        <v>1618</v>
      </c>
      <c r="K95" s="99" t="s">
        <v>1619</v>
      </c>
      <c r="L95" s="98">
        <v>17137</v>
      </c>
      <c r="M95" s="98">
        <v>17145</v>
      </c>
      <c r="N95" s="98">
        <v>17152</v>
      </c>
      <c r="O95" s="98">
        <v>17161</v>
      </c>
      <c r="P95" s="98">
        <v>17178</v>
      </c>
      <c r="Q95" s="98">
        <v>17202</v>
      </c>
      <c r="R95" s="98">
        <v>17211</v>
      </c>
      <c r="S95" s="98">
        <v>17228</v>
      </c>
      <c r="T95" s="98">
        <v>115691</v>
      </c>
      <c r="U95" s="98">
        <v>143511</v>
      </c>
      <c r="V95" s="98"/>
      <c r="W95" s="98"/>
      <c r="X95" s="98"/>
      <c r="Y95" s="98"/>
      <c r="Z95" s="98"/>
      <c r="AA95" s="98"/>
      <c r="AB95" s="98"/>
      <c r="AC95" s="98"/>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row>
    <row r="96" spans="1:52" ht="14.4" x14ac:dyDescent="0.3">
      <c r="A96" s="98">
        <v>119966</v>
      </c>
      <c r="B96" s="99" t="s">
        <v>1628</v>
      </c>
      <c r="C96" s="98">
        <v>23002</v>
      </c>
      <c r="D96" s="99" t="s">
        <v>1629</v>
      </c>
      <c r="E96" s="99" t="s">
        <v>1099</v>
      </c>
      <c r="F96" s="99">
        <v>9200</v>
      </c>
      <c r="G96" s="99" t="s">
        <v>1100</v>
      </c>
      <c r="H96" s="99" t="s">
        <v>1314</v>
      </c>
      <c r="I96" s="99" t="s">
        <v>415</v>
      </c>
      <c r="J96" s="99" t="s">
        <v>416</v>
      </c>
      <c r="K96" s="99" t="s">
        <v>1608</v>
      </c>
      <c r="L96" s="98">
        <v>22004</v>
      </c>
      <c r="M96" s="98">
        <v>22947</v>
      </c>
      <c r="N96" s="98">
        <v>23002</v>
      </c>
      <c r="O96" s="98">
        <v>106153</v>
      </c>
      <c r="P96" s="98"/>
      <c r="Q96" s="98"/>
      <c r="R96" s="98"/>
      <c r="S96" s="98"/>
      <c r="T96" s="98"/>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row>
    <row r="97" spans="1:52" ht="14.4" x14ac:dyDescent="0.3">
      <c r="A97" s="98">
        <v>119974</v>
      </c>
      <c r="B97" s="99" t="s">
        <v>295</v>
      </c>
      <c r="C97" s="98">
        <v>23556</v>
      </c>
      <c r="D97" s="99" t="s">
        <v>633</v>
      </c>
      <c r="E97" s="99" t="s">
        <v>1108</v>
      </c>
      <c r="F97" s="99">
        <v>9500</v>
      </c>
      <c r="G97" s="99" t="s">
        <v>582</v>
      </c>
      <c r="H97" s="99" t="s">
        <v>1315</v>
      </c>
      <c r="I97" s="99" t="s">
        <v>415</v>
      </c>
      <c r="J97" s="99" t="s">
        <v>416</v>
      </c>
      <c r="K97" s="99" t="s">
        <v>1608</v>
      </c>
      <c r="L97" s="98">
        <v>4739</v>
      </c>
      <c r="M97" s="98">
        <v>23556</v>
      </c>
      <c r="N97" s="98">
        <v>23564</v>
      </c>
      <c r="O97" s="98">
        <v>23614</v>
      </c>
      <c r="P97" s="98">
        <v>23804</v>
      </c>
      <c r="Q97" s="100">
        <v>23812</v>
      </c>
      <c r="R97" s="100">
        <v>110098</v>
      </c>
      <c r="S97" s="100">
        <v>130179</v>
      </c>
      <c r="T97" s="100">
        <v>143586</v>
      </c>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row>
    <row r="98" spans="1:52" ht="14.4" x14ac:dyDescent="0.3">
      <c r="A98" s="98">
        <v>119991</v>
      </c>
      <c r="B98" s="99" t="s">
        <v>296</v>
      </c>
      <c r="C98" s="98">
        <v>24646</v>
      </c>
      <c r="D98" s="99" t="s">
        <v>659</v>
      </c>
      <c r="E98" s="99" t="s">
        <v>1132</v>
      </c>
      <c r="F98" s="99">
        <v>9830</v>
      </c>
      <c r="G98" s="99" t="s">
        <v>1131</v>
      </c>
      <c r="H98" s="99" t="s">
        <v>1316</v>
      </c>
      <c r="I98" s="99" t="s">
        <v>415</v>
      </c>
      <c r="J98" s="99" t="s">
        <v>416</v>
      </c>
      <c r="K98" s="99" t="s">
        <v>1608</v>
      </c>
      <c r="L98" s="98">
        <v>24281</v>
      </c>
      <c r="M98" s="98">
        <v>24646</v>
      </c>
      <c r="N98" s="98">
        <v>24679</v>
      </c>
      <c r="O98" s="98">
        <v>131953</v>
      </c>
      <c r="P98" s="98">
        <v>131987</v>
      </c>
      <c r="Q98" s="98"/>
      <c r="R98" s="98"/>
      <c r="S98" s="98"/>
      <c r="T98" s="98"/>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row>
    <row r="99" spans="1:52" ht="14.4" x14ac:dyDescent="0.3">
      <c r="A99" s="98">
        <v>120006</v>
      </c>
      <c r="B99" s="99" t="s">
        <v>129</v>
      </c>
      <c r="C99" s="98">
        <v>126301</v>
      </c>
      <c r="D99" s="99" t="s">
        <v>718</v>
      </c>
      <c r="E99" s="99" t="s">
        <v>1213</v>
      </c>
      <c r="F99" s="99">
        <v>2930</v>
      </c>
      <c r="G99" s="99" t="s">
        <v>464</v>
      </c>
      <c r="H99" s="99" t="s">
        <v>1317</v>
      </c>
      <c r="I99" s="99" t="s">
        <v>450</v>
      </c>
      <c r="J99" s="99" t="s">
        <v>451</v>
      </c>
      <c r="K99" s="99" t="s">
        <v>452</v>
      </c>
      <c r="L99" s="98">
        <v>7096</v>
      </c>
      <c r="M99" s="98">
        <v>7121</v>
      </c>
      <c r="N99" s="98">
        <v>7542</v>
      </c>
      <c r="O99" s="98">
        <v>7559</v>
      </c>
      <c r="P99" s="98">
        <v>7567</v>
      </c>
      <c r="Q99" s="98">
        <v>61903</v>
      </c>
      <c r="R99" s="100">
        <v>126301</v>
      </c>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row>
    <row r="100" spans="1:52" ht="14.4" x14ac:dyDescent="0.3">
      <c r="A100" s="98">
        <v>120014</v>
      </c>
      <c r="B100" s="99" t="s">
        <v>130</v>
      </c>
      <c r="C100" s="98">
        <v>20552</v>
      </c>
      <c r="D100" s="99" t="s">
        <v>633</v>
      </c>
      <c r="E100" s="99" t="s">
        <v>1058</v>
      </c>
      <c r="F100" s="99">
        <v>8906</v>
      </c>
      <c r="G100" s="99" t="s">
        <v>1059</v>
      </c>
      <c r="H100" s="99" t="s">
        <v>1318</v>
      </c>
      <c r="I100" s="99" t="s">
        <v>1617</v>
      </c>
      <c r="J100" s="99" t="s">
        <v>1618</v>
      </c>
      <c r="K100" s="99" t="s">
        <v>1619</v>
      </c>
      <c r="L100" s="98">
        <v>20487</v>
      </c>
      <c r="M100" s="98">
        <v>20545</v>
      </c>
      <c r="N100" s="98">
        <v>20552</v>
      </c>
      <c r="O100" s="98">
        <v>20578</v>
      </c>
      <c r="P100" s="98">
        <v>20602</v>
      </c>
      <c r="Q100" s="98">
        <v>20611</v>
      </c>
      <c r="R100" s="98">
        <v>20669</v>
      </c>
      <c r="S100" s="100">
        <v>115402</v>
      </c>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row>
    <row r="101" spans="1:52" ht="14.4" x14ac:dyDescent="0.3">
      <c r="A101" s="98">
        <v>120031</v>
      </c>
      <c r="B101" s="99" t="s">
        <v>297</v>
      </c>
      <c r="C101" s="98">
        <v>687</v>
      </c>
      <c r="D101" s="99" t="s">
        <v>1630</v>
      </c>
      <c r="E101" s="99" t="s">
        <v>475</v>
      </c>
      <c r="F101" s="99">
        <v>2400</v>
      </c>
      <c r="G101" s="99" t="s">
        <v>476</v>
      </c>
      <c r="H101" s="99" t="s">
        <v>1319</v>
      </c>
      <c r="I101" s="99" t="s">
        <v>485</v>
      </c>
      <c r="J101" s="99" t="s">
        <v>486</v>
      </c>
      <c r="K101" s="99" t="s">
        <v>487</v>
      </c>
      <c r="L101" s="98">
        <v>604</v>
      </c>
      <c r="M101" s="98">
        <v>612</v>
      </c>
      <c r="N101" s="98">
        <v>621</v>
      </c>
      <c r="O101" s="98">
        <v>638</v>
      </c>
      <c r="P101" s="98">
        <v>653</v>
      </c>
      <c r="Q101" s="98">
        <v>679</v>
      </c>
      <c r="R101" s="98">
        <v>687</v>
      </c>
      <c r="S101" s="98">
        <v>703</v>
      </c>
      <c r="T101" s="100">
        <v>711</v>
      </c>
      <c r="U101" s="100">
        <v>729</v>
      </c>
      <c r="V101" s="100">
        <v>737</v>
      </c>
      <c r="W101" s="100">
        <v>752</v>
      </c>
      <c r="X101" s="100">
        <v>761</v>
      </c>
      <c r="Y101" s="100">
        <v>1222</v>
      </c>
      <c r="Z101" s="100">
        <v>1231</v>
      </c>
      <c r="AA101" s="100">
        <v>1917</v>
      </c>
      <c r="AB101" s="100">
        <v>1925</v>
      </c>
      <c r="AC101" s="100">
        <v>115972</v>
      </c>
      <c r="AD101" s="100">
        <v>131029</v>
      </c>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row>
    <row r="102" spans="1:52" ht="14.4" x14ac:dyDescent="0.3">
      <c r="A102" s="98">
        <v>120063</v>
      </c>
      <c r="B102" s="99" t="s">
        <v>298</v>
      </c>
      <c r="C102" s="98">
        <v>25775</v>
      </c>
      <c r="D102" s="99" t="s">
        <v>810</v>
      </c>
      <c r="E102" s="99" t="s">
        <v>1144</v>
      </c>
      <c r="F102" s="99">
        <v>2540</v>
      </c>
      <c r="G102" s="99" t="s">
        <v>483</v>
      </c>
      <c r="H102" s="99" t="s">
        <v>1320</v>
      </c>
      <c r="I102" s="99" t="s">
        <v>1542</v>
      </c>
      <c r="J102" s="99" t="s">
        <v>1543</v>
      </c>
      <c r="K102" s="99" t="s">
        <v>1544</v>
      </c>
      <c r="L102" s="98">
        <v>9712</v>
      </c>
      <c r="M102" s="98">
        <v>9837</v>
      </c>
      <c r="N102" s="98">
        <v>9944</v>
      </c>
      <c r="O102" s="98">
        <v>115949</v>
      </c>
      <c r="P102" s="98">
        <v>129189</v>
      </c>
      <c r="Q102" s="98"/>
      <c r="R102" s="98"/>
      <c r="S102" s="98"/>
      <c r="T102" s="98"/>
      <c r="U102" s="98"/>
      <c r="V102" s="98"/>
      <c r="W102" s="98"/>
      <c r="X102" s="98"/>
      <c r="Y102" s="98"/>
      <c r="Z102" s="98"/>
      <c r="AA102" s="98"/>
      <c r="AB102" s="98"/>
      <c r="AC102" s="98"/>
      <c r="AD102" s="98"/>
      <c r="AE102" s="98"/>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row>
    <row r="103" spans="1:52" ht="14.4" x14ac:dyDescent="0.3">
      <c r="A103" s="98">
        <v>120071</v>
      </c>
      <c r="B103" s="99" t="s">
        <v>1554</v>
      </c>
      <c r="C103" s="98">
        <v>46201</v>
      </c>
      <c r="D103" s="99" t="s">
        <v>1609</v>
      </c>
      <c r="E103" s="99" t="s">
        <v>1157</v>
      </c>
      <c r="F103" s="99">
        <v>8200</v>
      </c>
      <c r="G103" s="99" t="s">
        <v>602</v>
      </c>
      <c r="H103" s="99" t="s">
        <v>1321</v>
      </c>
      <c r="I103" s="99" t="s">
        <v>1617</v>
      </c>
      <c r="J103" s="99" t="s">
        <v>1618</v>
      </c>
      <c r="K103" s="99" t="s">
        <v>1619</v>
      </c>
      <c r="L103" s="98">
        <v>17591</v>
      </c>
      <c r="M103" s="98">
        <v>18036</v>
      </c>
      <c r="N103" s="98">
        <v>46201</v>
      </c>
      <c r="O103" s="98"/>
      <c r="P103" s="98"/>
      <c r="Q103" s="98"/>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row>
    <row r="104" spans="1:52" ht="14.4" x14ac:dyDescent="0.3">
      <c r="A104" s="98">
        <v>120089</v>
      </c>
      <c r="B104" s="99" t="s">
        <v>131</v>
      </c>
      <c r="C104" s="98">
        <v>7856</v>
      </c>
      <c r="D104" s="99" t="s">
        <v>743</v>
      </c>
      <c r="E104" s="99" t="s">
        <v>744</v>
      </c>
      <c r="F104" s="99">
        <v>2990</v>
      </c>
      <c r="G104" s="99" t="s">
        <v>466</v>
      </c>
      <c r="H104" s="99" t="s">
        <v>1322</v>
      </c>
      <c r="I104" s="99" t="s">
        <v>450</v>
      </c>
      <c r="J104" s="99" t="s">
        <v>451</v>
      </c>
      <c r="K104" s="99" t="s">
        <v>452</v>
      </c>
      <c r="L104" s="98">
        <v>7849</v>
      </c>
      <c r="M104" s="98">
        <v>7856</v>
      </c>
      <c r="N104" s="98">
        <v>7872</v>
      </c>
      <c r="O104" s="98"/>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row>
    <row r="105" spans="1:52" ht="14.4" x14ac:dyDescent="0.3">
      <c r="A105" s="98">
        <v>120097</v>
      </c>
      <c r="B105" s="99" t="s">
        <v>132</v>
      </c>
      <c r="C105" s="98">
        <v>13417</v>
      </c>
      <c r="D105" s="99" t="s">
        <v>623</v>
      </c>
      <c r="E105" s="99" t="s">
        <v>902</v>
      </c>
      <c r="F105" s="99">
        <v>3300</v>
      </c>
      <c r="G105" s="99" t="s">
        <v>508</v>
      </c>
      <c r="H105" s="99" t="s">
        <v>1323</v>
      </c>
      <c r="I105" s="99" t="s">
        <v>438</v>
      </c>
      <c r="J105" s="99" t="s">
        <v>439</v>
      </c>
      <c r="K105" s="99" t="s">
        <v>440</v>
      </c>
      <c r="L105" s="98">
        <v>13409</v>
      </c>
      <c r="M105" s="98">
        <v>13417</v>
      </c>
      <c r="N105" s="98">
        <v>13458</v>
      </c>
      <c r="O105" s="98">
        <v>13474</v>
      </c>
      <c r="P105" s="98">
        <v>13491</v>
      </c>
      <c r="Q105" s="100">
        <v>13508</v>
      </c>
      <c r="R105" s="100">
        <v>13631</v>
      </c>
      <c r="S105" s="100">
        <v>13714</v>
      </c>
      <c r="T105" s="100">
        <v>55459</v>
      </c>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row>
    <row r="106" spans="1:52" ht="14.4" x14ac:dyDescent="0.3">
      <c r="A106" s="98">
        <v>120113</v>
      </c>
      <c r="B106" s="99" t="s">
        <v>218</v>
      </c>
      <c r="C106" s="98">
        <v>10868</v>
      </c>
      <c r="D106" s="99" t="s">
        <v>834</v>
      </c>
      <c r="E106" s="99" t="s">
        <v>835</v>
      </c>
      <c r="F106" s="99">
        <v>2880</v>
      </c>
      <c r="G106" s="99" t="s">
        <v>491</v>
      </c>
      <c r="H106" s="99" t="s">
        <v>1555</v>
      </c>
      <c r="I106" s="99" t="s">
        <v>485</v>
      </c>
      <c r="J106" s="99" t="s">
        <v>486</v>
      </c>
      <c r="K106" s="99" t="s">
        <v>487</v>
      </c>
      <c r="L106" s="98">
        <v>10801</v>
      </c>
      <c r="M106" s="98">
        <v>10851</v>
      </c>
      <c r="N106" s="98">
        <v>10868</v>
      </c>
      <c r="O106" s="98">
        <v>10876</v>
      </c>
      <c r="P106" s="98">
        <v>10901</v>
      </c>
      <c r="Q106" s="98">
        <v>110601</v>
      </c>
      <c r="R106" s="98"/>
      <c r="S106" s="98"/>
      <c r="T106" s="98"/>
      <c r="U106" s="98"/>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row>
    <row r="107" spans="1:52" ht="14.4" x14ac:dyDescent="0.3">
      <c r="A107" s="98">
        <v>120121</v>
      </c>
      <c r="B107" s="99" t="s">
        <v>133</v>
      </c>
      <c r="C107" s="98">
        <v>9472</v>
      </c>
      <c r="D107" s="99" t="s">
        <v>659</v>
      </c>
      <c r="E107" s="99" t="s">
        <v>803</v>
      </c>
      <c r="F107" s="99">
        <v>2470</v>
      </c>
      <c r="G107" s="99" t="s">
        <v>804</v>
      </c>
      <c r="H107" s="99" t="s">
        <v>1324</v>
      </c>
      <c r="I107" s="99" t="s">
        <v>1620</v>
      </c>
      <c r="J107" s="99" t="s">
        <v>1621</v>
      </c>
      <c r="K107" s="99" t="s">
        <v>1622</v>
      </c>
      <c r="L107" s="98">
        <v>8888</v>
      </c>
      <c r="M107" s="98">
        <v>8896</v>
      </c>
      <c r="N107" s="98">
        <v>9381</v>
      </c>
      <c r="O107" s="98">
        <v>9431</v>
      </c>
      <c r="P107" s="98">
        <v>9472</v>
      </c>
      <c r="Q107" s="98">
        <v>9514</v>
      </c>
      <c r="R107" s="100">
        <v>9522</v>
      </c>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row>
    <row r="108" spans="1:52" ht="14.4" x14ac:dyDescent="0.3">
      <c r="A108" s="98">
        <v>120139</v>
      </c>
      <c r="B108" s="99" t="s">
        <v>299</v>
      </c>
      <c r="C108" s="98">
        <v>105941</v>
      </c>
      <c r="D108" s="99" t="s">
        <v>926</v>
      </c>
      <c r="E108" s="99" t="s">
        <v>1175</v>
      </c>
      <c r="F108" s="99">
        <v>3800</v>
      </c>
      <c r="G108" s="99" t="s">
        <v>528</v>
      </c>
      <c r="H108" s="99" t="s">
        <v>1325</v>
      </c>
      <c r="I108" s="99" t="s">
        <v>1620</v>
      </c>
      <c r="J108" s="99" t="s">
        <v>1621</v>
      </c>
      <c r="K108" s="99" t="s">
        <v>1622</v>
      </c>
      <c r="L108" s="98">
        <v>15966</v>
      </c>
      <c r="M108" s="98">
        <v>16014</v>
      </c>
      <c r="N108" s="98">
        <v>16071</v>
      </c>
      <c r="O108" s="98">
        <v>16089</v>
      </c>
      <c r="P108" s="98">
        <v>16097</v>
      </c>
      <c r="Q108" s="98">
        <v>16188</v>
      </c>
      <c r="R108" s="98">
        <v>16196</v>
      </c>
      <c r="S108" s="100">
        <v>16212</v>
      </c>
      <c r="T108" s="100">
        <v>16221</v>
      </c>
      <c r="U108" s="100">
        <v>16238</v>
      </c>
      <c r="V108" s="100">
        <v>16279</v>
      </c>
      <c r="W108" s="100">
        <v>105941</v>
      </c>
      <c r="X108" s="100">
        <v>105957</v>
      </c>
      <c r="Y108" s="100">
        <v>118695</v>
      </c>
      <c r="Z108" s="100">
        <v>123083</v>
      </c>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row>
    <row r="109" spans="1:52" ht="14.4" x14ac:dyDescent="0.3">
      <c r="A109" s="98">
        <v>120147</v>
      </c>
      <c r="B109" s="99" t="s">
        <v>1556</v>
      </c>
      <c r="C109" s="98">
        <v>123448</v>
      </c>
      <c r="D109" s="99" t="s">
        <v>1557</v>
      </c>
      <c r="E109" s="99" t="s">
        <v>1208</v>
      </c>
      <c r="F109" s="99">
        <v>3570</v>
      </c>
      <c r="G109" s="99" t="s">
        <v>959</v>
      </c>
      <c r="H109" s="99" t="s">
        <v>1326</v>
      </c>
      <c r="I109" s="99" t="s">
        <v>1620</v>
      </c>
      <c r="J109" s="99" t="s">
        <v>1621</v>
      </c>
      <c r="K109" s="99" t="s">
        <v>1622</v>
      </c>
      <c r="L109" s="98">
        <v>1388</v>
      </c>
      <c r="M109" s="98">
        <v>1396</v>
      </c>
      <c r="N109" s="98">
        <v>1404</v>
      </c>
      <c r="O109" s="98">
        <v>1412</v>
      </c>
      <c r="P109" s="98">
        <v>1421</v>
      </c>
      <c r="Q109" s="98">
        <v>1446</v>
      </c>
      <c r="R109" s="98">
        <v>1453</v>
      </c>
      <c r="S109" s="98">
        <v>1792</v>
      </c>
      <c r="T109" s="98">
        <v>1842</v>
      </c>
      <c r="U109" s="98">
        <v>107681</v>
      </c>
      <c r="V109" s="98">
        <v>123448</v>
      </c>
      <c r="W109" s="98">
        <v>129478</v>
      </c>
      <c r="X109" s="98">
        <v>130013</v>
      </c>
      <c r="Y109" s="98">
        <v>130161</v>
      </c>
      <c r="Z109" s="98"/>
      <c r="AA109" s="98"/>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row>
    <row r="110" spans="1:52" ht="14.4" x14ac:dyDescent="0.3">
      <c r="A110" s="98">
        <v>120162</v>
      </c>
      <c r="B110" s="99" t="s">
        <v>300</v>
      </c>
      <c r="C110" s="98">
        <v>12724</v>
      </c>
      <c r="D110" s="99" t="s">
        <v>1558</v>
      </c>
      <c r="E110" s="99" t="s">
        <v>888</v>
      </c>
      <c r="F110" s="99">
        <v>3111</v>
      </c>
      <c r="G110" s="99" t="s">
        <v>889</v>
      </c>
      <c r="H110" s="99" t="s">
        <v>1559</v>
      </c>
      <c r="I110" s="99" t="s">
        <v>415</v>
      </c>
      <c r="J110" s="99" t="s">
        <v>416</v>
      </c>
      <c r="K110" s="99" t="s">
        <v>1608</v>
      </c>
      <c r="L110" s="98">
        <v>12708</v>
      </c>
      <c r="M110" s="98">
        <v>12716</v>
      </c>
      <c r="N110" s="98">
        <v>12724</v>
      </c>
      <c r="O110" s="98">
        <v>12781</v>
      </c>
      <c r="P110" s="98">
        <v>13177</v>
      </c>
      <c r="Q110" s="98">
        <v>107921</v>
      </c>
      <c r="R110" s="98">
        <v>128058</v>
      </c>
      <c r="S110" s="98">
        <v>131896</v>
      </c>
      <c r="T110" s="98"/>
      <c r="U110" s="98"/>
      <c r="V110" s="98"/>
      <c r="W110" s="98"/>
      <c r="X110" s="98"/>
      <c r="Y110" s="98"/>
      <c r="Z110" s="98"/>
      <c r="AA110" s="98"/>
      <c r="AB110" s="98"/>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row>
    <row r="111" spans="1:52" ht="14.4" x14ac:dyDescent="0.3">
      <c r="A111" s="98">
        <v>120171</v>
      </c>
      <c r="B111" s="99" t="s">
        <v>134</v>
      </c>
      <c r="C111" s="98">
        <v>12021</v>
      </c>
      <c r="D111" s="99" t="s">
        <v>867</v>
      </c>
      <c r="E111" s="99" t="s">
        <v>870</v>
      </c>
      <c r="F111" s="99">
        <v>1880</v>
      </c>
      <c r="G111" s="99" t="s">
        <v>871</v>
      </c>
      <c r="H111" s="99" t="s">
        <v>1327</v>
      </c>
      <c r="I111" s="99" t="s">
        <v>415</v>
      </c>
      <c r="J111" s="99" t="s">
        <v>416</v>
      </c>
      <c r="K111" s="99" t="s">
        <v>1608</v>
      </c>
      <c r="L111" s="98">
        <v>11973</v>
      </c>
      <c r="M111" s="98">
        <v>11981</v>
      </c>
      <c r="N111" s="98">
        <v>12005</v>
      </c>
      <c r="O111" s="98">
        <v>12013</v>
      </c>
      <c r="P111" s="98">
        <v>12021</v>
      </c>
      <c r="Q111" s="98">
        <v>55335</v>
      </c>
      <c r="R111" s="98">
        <v>104265</v>
      </c>
      <c r="S111" s="98"/>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row>
    <row r="112" spans="1:52" ht="14.4" x14ac:dyDescent="0.3">
      <c r="A112" s="98">
        <v>120188</v>
      </c>
      <c r="B112" s="99" t="s">
        <v>135</v>
      </c>
      <c r="C112" s="98">
        <v>6007</v>
      </c>
      <c r="D112" s="99" t="s">
        <v>692</v>
      </c>
      <c r="E112" s="99" t="s">
        <v>694</v>
      </c>
      <c r="F112" s="99">
        <v>3080</v>
      </c>
      <c r="G112" s="99" t="s">
        <v>447</v>
      </c>
      <c r="H112" s="99" t="s">
        <v>1328</v>
      </c>
      <c r="I112" s="99" t="s">
        <v>438</v>
      </c>
      <c r="J112" s="99" t="s">
        <v>439</v>
      </c>
      <c r="K112" s="99" t="s">
        <v>440</v>
      </c>
      <c r="L112" s="98">
        <v>5926</v>
      </c>
      <c r="M112" s="98">
        <v>6007</v>
      </c>
      <c r="N112" s="98">
        <v>6015</v>
      </c>
      <c r="O112" s="98">
        <v>12526</v>
      </c>
      <c r="P112" s="98">
        <v>12542</v>
      </c>
      <c r="Q112" s="98">
        <v>127043</v>
      </c>
      <c r="R112" s="98"/>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row>
    <row r="113" spans="1:52" ht="14.4" x14ac:dyDescent="0.3">
      <c r="A113" s="98">
        <v>120196</v>
      </c>
      <c r="B113" s="99" t="s">
        <v>301</v>
      </c>
      <c r="C113" s="98">
        <v>5314</v>
      </c>
      <c r="D113" s="99" t="s">
        <v>654</v>
      </c>
      <c r="E113" s="99" t="s">
        <v>668</v>
      </c>
      <c r="F113" s="99">
        <v>1760</v>
      </c>
      <c r="G113" s="99" t="s">
        <v>667</v>
      </c>
      <c r="H113" s="99" t="s">
        <v>1329</v>
      </c>
      <c r="I113" s="99" t="s">
        <v>438</v>
      </c>
      <c r="J113" s="99" t="s">
        <v>439</v>
      </c>
      <c r="K113" s="99" t="s">
        <v>440</v>
      </c>
      <c r="L113" s="98">
        <v>4986</v>
      </c>
      <c r="M113" s="98">
        <v>5231</v>
      </c>
      <c r="N113" s="98">
        <v>5314</v>
      </c>
      <c r="O113" s="98">
        <v>5363</v>
      </c>
      <c r="P113" s="98">
        <v>130898</v>
      </c>
      <c r="Q113" s="98">
        <v>133397</v>
      </c>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row>
    <row r="114" spans="1:52" ht="14.4" x14ac:dyDescent="0.3">
      <c r="A114" s="98">
        <v>120212</v>
      </c>
      <c r="B114" s="99" t="s">
        <v>136</v>
      </c>
      <c r="C114" s="98">
        <v>26351</v>
      </c>
      <c r="D114" s="99" t="s">
        <v>990</v>
      </c>
      <c r="E114" s="99" t="s">
        <v>1147</v>
      </c>
      <c r="F114" s="99">
        <v>8600</v>
      </c>
      <c r="G114" s="99" t="s">
        <v>538</v>
      </c>
      <c r="H114" s="99" t="s">
        <v>1330</v>
      </c>
      <c r="I114" s="99" t="s">
        <v>1542</v>
      </c>
      <c r="J114" s="99" t="s">
        <v>1543</v>
      </c>
      <c r="K114" s="99" t="s">
        <v>1544</v>
      </c>
      <c r="L114" s="98">
        <v>17442</v>
      </c>
      <c r="M114" s="98">
        <v>17467</v>
      </c>
      <c r="N114" s="98">
        <v>17475</v>
      </c>
      <c r="O114" s="98">
        <v>115428</v>
      </c>
      <c r="P114" s="98"/>
      <c r="Q114" s="98"/>
      <c r="R114" s="98"/>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row>
    <row r="115" spans="1:52" ht="14.4" x14ac:dyDescent="0.3">
      <c r="A115" s="98">
        <v>120221</v>
      </c>
      <c r="B115" s="99" t="s">
        <v>137</v>
      </c>
      <c r="C115" s="98">
        <v>4184</v>
      </c>
      <c r="D115" s="99" t="s">
        <v>626</v>
      </c>
      <c r="E115" s="99" t="s">
        <v>627</v>
      </c>
      <c r="F115" s="99">
        <v>1081</v>
      </c>
      <c r="G115" s="99" t="s">
        <v>426</v>
      </c>
      <c r="H115" s="99" t="s">
        <v>1331</v>
      </c>
      <c r="I115" s="99" t="s">
        <v>438</v>
      </c>
      <c r="J115" s="99" t="s">
        <v>439</v>
      </c>
      <c r="K115" s="99" t="s">
        <v>440</v>
      </c>
      <c r="L115" s="98">
        <v>4168</v>
      </c>
      <c r="M115" s="98">
        <v>4184</v>
      </c>
      <c r="N115" s="98">
        <v>4234</v>
      </c>
      <c r="O115" s="98">
        <v>4242</v>
      </c>
      <c r="P115" s="98">
        <v>4507</v>
      </c>
      <c r="Q115" s="100">
        <v>61978</v>
      </c>
      <c r="R115" s="100">
        <v>127027</v>
      </c>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row>
    <row r="116" spans="1:52" ht="14.4" x14ac:dyDescent="0.3">
      <c r="A116" s="98">
        <v>120253</v>
      </c>
      <c r="B116" s="99" t="s">
        <v>1332</v>
      </c>
      <c r="C116" s="98">
        <v>17962</v>
      </c>
      <c r="D116" s="99" t="s">
        <v>977</v>
      </c>
      <c r="E116" s="99" t="s">
        <v>1004</v>
      </c>
      <c r="F116" s="99">
        <v>8730</v>
      </c>
      <c r="G116" s="99" t="s">
        <v>603</v>
      </c>
      <c r="H116" s="99" t="s">
        <v>1333</v>
      </c>
      <c r="I116" s="99" t="s">
        <v>1617</v>
      </c>
      <c r="J116" s="99" t="s">
        <v>1618</v>
      </c>
      <c r="K116" s="99" t="s">
        <v>1619</v>
      </c>
      <c r="L116" s="98">
        <v>17061</v>
      </c>
      <c r="M116" s="98">
        <v>17087</v>
      </c>
      <c r="N116" s="98">
        <v>17962</v>
      </c>
      <c r="O116" s="98">
        <v>17971</v>
      </c>
      <c r="P116" s="98">
        <v>18002</v>
      </c>
      <c r="Q116" s="98">
        <v>61226</v>
      </c>
      <c r="R116" s="98">
        <v>129536</v>
      </c>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row>
    <row r="117" spans="1:52" ht="14.4" x14ac:dyDescent="0.3">
      <c r="A117" s="98">
        <v>120261</v>
      </c>
      <c r="B117" s="99" t="s">
        <v>219</v>
      </c>
      <c r="C117" s="98">
        <v>25171</v>
      </c>
      <c r="D117" s="99" t="s">
        <v>1142</v>
      </c>
      <c r="E117" s="99" t="s">
        <v>1143</v>
      </c>
      <c r="F117" s="99">
        <v>9990</v>
      </c>
      <c r="G117" s="99" t="s">
        <v>596</v>
      </c>
      <c r="H117" s="99" t="s">
        <v>1560</v>
      </c>
      <c r="I117" s="99" t="s">
        <v>415</v>
      </c>
      <c r="J117" s="99" t="s">
        <v>416</v>
      </c>
      <c r="K117" s="99" t="s">
        <v>1608</v>
      </c>
      <c r="L117" s="98">
        <v>25171</v>
      </c>
      <c r="M117" s="98">
        <v>25189</v>
      </c>
      <c r="N117" s="98">
        <v>25197</v>
      </c>
      <c r="O117" s="98">
        <v>25205</v>
      </c>
      <c r="P117" s="98">
        <v>25221</v>
      </c>
      <c r="Q117" s="98">
        <v>48678</v>
      </c>
      <c r="R117" s="98"/>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row>
    <row r="118" spans="1:52" ht="14.4" x14ac:dyDescent="0.3">
      <c r="A118" s="98">
        <v>120279</v>
      </c>
      <c r="B118" s="99" t="s">
        <v>302</v>
      </c>
      <c r="C118" s="98">
        <v>17277</v>
      </c>
      <c r="D118" s="99" t="s">
        <v>983</v>
      </c>
      <c r="E118" s="99" t="s">
        <v>984</v>
      </c>
      <c r="F118" s="99">
        <v>8820</v>
      </c>
      <c r="G118" s="99" t="s">
        <v>536</v>
      </c>
      <c r="H118" s="99" t="s">
        <v>1334</v>
      </c>
      <c r="I118" s="99" t="s">
        <v>1617</v>
      </c>
      <c r="J118" s="99" t="s">
        <v>1618</v>
      </c>
      <c r="K118" s="99" t="s">
        <v>1619</v>
      </c>
      <c r="L118" s="98">
        <v>17194</v>
      </c>
      <c r="M118" s="98">
        <v>17236</v>
      </c>
      <c r="N118" s="98">
        <v>17244</v>
      </c>
      <c r="O118" s="98">
        <v>17251</v>
      </c>
      <c r="P118" s="98">
        <v>17269</v>
      </c>
      <c r="Q118" s="98">
        <v>17277</v>
      </c>
      <c r="R118" s="100">
        <v>17301</v>
      </c>
      <c r="S118" s="100">
        <v>17616</v>
      </c>
      <c r="T118" s="100">
        <v>17624</v>
      </c>
      <c r="U118" s="100">
        <v>17632</v>
      </c>
      <c r="V118" s="100">
        <v>17781</v>
      </c>
      <c r="W118" s="100">
        <v>17798</v>
      </c>
      <c r="X118" s="100">
        <v>17814</v>
      </c>
      <c r="Y118" s="100">
        <v>115683</v>
      </c>
      <c r="Z118" s="100">
        <v>131904</v>
      </c>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row>
    <row r="119" spans="1:52" ht="14.4" x14ac:dyDescent="0.3">
      <c r="A119" s="98">
        <v>120287</v>
      </c>
      <c r="B119" s="99" t="s">
        <v>138</v>
      </c>
      <c r="C119" s="98">
        <v>9845</v>
      </c>
      <c r="D119" s="99" t="s">
        <v>750</v>
      </c>
      <c r="E119" s="99" t="s">
        <v>814</v>
      </c>
      <c r="F119" s="99">
        <v>2530</v>
      </c>
      <c r="G119" s="99" t="s">
        <v>815</v>
      </c>
      <c r="H119" s="99" t="s">
        <v>1335</v>
      </c>
      <c r="I119" s="99" t="s">
        <v>450</v>
      </c>
      <c r="J119" s="99" t="s">
        <v>451</v>
      </c>
      <c r="K119" s="99" t="s">
        <v>452</v>
      </c>
      <c r="L119" s="98">
        <v>8169</v>
      </c>
      <c r="M119" s="98">
        <v>9845</v>
      </c>
      <c r="N119" s="98">
        <v>9911</v>
      </c>
      <c r="O119" s="98"/>
      <c r="P119" s="98"/>
      <c r="Q119" s="98"/>
      <c r="R119" s="98"/>
      <c r="S119" s="98"/>
      <c r="T119" s="98"/>
      <c r="U119" s="98"/>
      <c r="V119" s="98"/>
      <c r="W119" s="98"/>
      <c r="X119" s="98"/>
      <c r="Y119" s="98"/>
      <c r="Z119" s="98"/>
      <c r="AA119" s="98"/>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row>
    <row r="120" spans="1:52" ht="14.4" x14ac:dyDescent="0.3">
      <c r="A120" s="98">
        <v>120295</v>
      </c>
      <c r="B120" s="99" t="s">
        <v>139</v>
      </c>
      <c r="C120" s="98">
        <v>7831</v>
      </c>
      <c r="D120" s="99" t="s">
        <v>1561</v>
      </c>
      <c r="E120" s="99" t="s">
        <v>742</v>
      </c>
      <c r="F120" s="99">
        <v>2990</v>
      </c>
      <c r="G120" s="99" t="s">
        <v>466</v>
      </c>
      <c r="H120" s="99" t="s">
        <v>1336</v>
      </c>
      <c r="I120" s="99" t="s">
        <v>450</v>
      </c>
      <c r="J120" s="99" t="s">
        <v>451</v>
      </c>
      <c r="K120" s="99" t="s">
        <v>452</v>
      </c>
      <c r="L120" s="98">
        <v>7831</v>
      </c>
      <c r="M120" s="98">
        <v>7881</v>
      </c>
      <c r="N120" s="98">
        <v>7955</v>
      </c>
      <c r="O120" s="98">
        <v>7963</v>
      </c>
      <c r="P120" s="100">
        <v>8029</v>
      </c>
      <c r="Q120" s="100">
        <v>45344</v>
      </c>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row>
    <row r="121" spans="1:52" ht="14.4" x14ac:dyDescent="0.3">
      <c r="A121" s="98">
        <v>120329</v>
      </c>
      <c r="B121" s="99" t="s">
        <v>140</v>
      </c>
      <c r="C121" s="98">
        <v>3962</v>
      </c>
      <c r="D121" s="99" t="s">
        <v>621</v>
      </c>
      <c r="E121" s="99" t="s">
        <v>622</v>
      </c>
      <c r="F121" s="99">
        <v>1070</v>
      </c>
      <c r="G121" s="99" t="s">
        <v>619</v>
      </c>
      <c r="H121" s="99" t="s">
        <v>1337</v>
      </c>
      <c r="I121" s="99" t="s">
        <v>438</v>
      </c>
      <c r="J121" s="99" t="s">
        <v>439</v>
      </c>
      <c r="K121" s="99" t="s">
        <v>440</v>
      </c>
      <c r="L121" s="98">
        <v>3962</v>
      </c>
      <c r="M121" s="98">
        <v>3971</v>
      </c>
      <c r="N121" s="98">
        <v>3988</v>
      </c>
      <c r="O121" s="98">
        <v>3996</v>
      </c>
      <c r="P121" s="98">
        <v>4002</v>
      </c>
      <c r="Q121" s="98">
        <v>60996</v>
      </c>
      <c r="R121" s="100">
        <v>128835</v>
      </c>
      <c r="S121" s="100">
        <v>132829</v>
      </c>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row>
    <row r="122" spans="1:52" ht="14.4" x14ac:dyDescent="0.3">
      <c r="A122" s="98">
        <v>120345</v>
      </c>
      <c r="B122" s="99" t="s">
        <v>141</v>
      </c>
      <c r="C122" s="98">
        <v>126375</v>
      </c>
      <c r="D122" s="99" t="s">
        <v>1050</v>
      </c>
      <c r="E122" s="99" t="s">
        <v>1214</v>
      </c>
      <c r="F122" s="99">
        <v>8800</v>
      </c>
      <c r="G122" s="99" t="s">
        <v>558</v>
      </c>
      <c r="H122" s="99" t="s">
        <v>1338</v>
      </c>
      <c r="I122" s="99" t="s">
        <v>1617</v>
      </c>
      <c r="J122" s="99" t="s">
        <v>1618</v>
      </c>
      <c r="K122" s="99" t="s">
        <v>1619</v>
      </c>
      <c r="L122" s="98">
        <v>19968</v>
      </c>
      <c r="M122" s="98">
        <v>19976</v>
      </c>
      <c r="N122" s="98">
        <v>19992</v>
      </c>
      <c r="O122" s="98">
        <v>20008</v>
      </c>
      <c r="P122" s="98">
        <v>20016</v>
      </c>
      <c r="Q122" s="98">
        <v>20024</v>
      </c>
      <c r="R122" s="98">
        <v>20032</v>
      </c>
      <c r="S122" s="98">
        <v>20041</v>
      </c>
      <c r="T122" s="100">
        <v>20065</v>
      </c>
      <c r="U122" s="100">
        <v>20081</v>
      </c>
      <c r="V122" s="100">
        <v>20099</v>
      </c>
      <c r="W122" s="100">
        <v>20107</v>
      </c>
      <c r="X122" s="100">
        <v>20123</v>
      </c>
      <c r="Y122" s="100">
        <v>20198</v>
      </c>
      <c r="Z122" s="100">
        <v>20206</v>
      </c>
      <c r="AA122" s="100">
        <v>104398</v>
      </c>
      <c r="AB122" s="100">
        <v>126375</v>
      </c>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row>
    <row r="123" spans="1:52" ht="14.4" x14ac:dyDescent="0.3">
      <c r="A123" s="98">
        <v>120361</v>
      </c>
      <c r="B123" s="99" t="s">
        <v>303</v>
      </c>
      <c r="C123" s="98">
        <v>19869</v>
      </c>
      <c r="D123" s="99" t="s">
        <v>1039</v>
      </c>
      <c r="E123" s="99" t="s">
        <v>1046</v>
      </c>
      <c r="F123" s="99">
        <v>8790</v>
      </c>
      <c r="G123" s="99" t="s">
        <v>556</v>
      </c>
      <c r="H123" s="99" t="s">
        <v>1339</v>
      </c>
      <c r="I123" s="99" t="s">
        <v>1617</v>
      </c>
      <c r="J123" s="99" t="s">
        <v>1618</v>
      </c>
      <c r="K123" s="99" t="s">
        <v>1619</v>
      </c>
      <c r="L123" s="98">
        <v>19687</v>
      </c>
      <c r="M123" s="98">
        <v>19711</v>
      </c>
      <c r="N123" s="98">
        <v>19869</v>
      </c>
      <c r="O123" s="98">
        <v>19877</v>
      </c>
      <c r="P123" s="98">
        <v>19885</v>
      </c>
      <c r="Q123" s="98">
        <v>19893</v>
      </c>
      <c r="R123" s="98">
        <v>19901</v>
      </c>
      <c r="S123" s="98">
        <v>106047</v>
      </c>
      <c r="T123" s="98"/>
      <c r="U123" s="98"/>
      <c r="V123" s="98"/>
      <c r="W123" s="98"/>
      <c r="X123" s="98"/>
      <c r="Y123" s="98"/>
      <c r="Z123" s="98"/>
      <c r="AA123" s="98"/>
      <c r="AB123" s="98"/>
      <c r="AC123" s="98"/>
      <c r="AD123" s="98"/>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row>
    <row r="124" spans="1:52" ht="14.4" x14ac:dyDescent="0.3">
      <c r="A124" s="98">
        <v>120394</v>
      </c>
      <c r="B124" s="99" t="s">
        <v>304</v>
      </c>
      <c r="C124" s="98">
        <v>6486</v>
      </c>
      <c r="D124" s="99" t="s">
        <v>706</v>
      </c>
      <c r="E124" s="99" t="s">
        <v>708</v>
      </c>
      <c r="F124" s="99">
        <v>2000</v>
      </c>
      <c r="G124" s="99" t="s">
        <v>449</v>
      </c>
      <c r="H124" s="99" t="s">
        <v>1340</v>
      </c>
      <c r="I124" s="99" t="s">
        <v>450</v>
      </c>
      <c r="J124" s="99" t="s">
        <v>451</v>
      </c>
      <c r="K124" s="99" t="s">
        <v>452</v>
      </c>
      <c r="L124" s="98">
        <v>6361</v>
      </c>
      <c r="M124" s="98">
        <v>6403</v>
      </c>
      <c r="N124" s="98">
        <v>6478</v>
      </c>
      <c r="O124" s="98">
        <v>6486</v>
      </c>
      <c r="P124" s="98">
        <v>6619</v>
      </c>
      <c r="Q124" s="98">
        <v>6742</v>
      </c>
      <c r="R124" s="98">
        <v>6783</v>
      </c>
      <c r="S124" s="98">
        <v>6791</v>
      </c>
      <c r="T124" s="98"/>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row>
    <row r="125" spans="1:52" ht="14.4" x14ac:dyDescent="0.3">
      <c r="A125" s="98">
        <v>120451</v>
      </c>
      <c r="B125" s="99" t="s">
        <v>142</v>
      </c>
      <c r="C125" s="98">
        <v>18788</v>
      </c>
      <c r="D125" s="99" t="s">
        <v>1631</v>
      </c>
      <c r="E125" s="99" t="s">
        <v>1020</v>
      </c>
      <c r="F125" s="99">
        <v>8511</v>
      </c>
      <c r="G125" s="99" t="s">
        <v>1021</v>
      </c>
      <c r="H125" s="99" t="s">
        <v>1341</v>
      </c>
      <c r="I125" s="99" t="s">
        <v>1617</v>
      </c>
      <c r="J125" s="99" t="s">
        <v>1618</v>
      </c>
      <c r="K125" s="99" t="s">
        <v>1619</v>
      </c>
      <c r="L125" s="98">
        <v>18771</v>
      </c>
      <c r="M125" s="98">
        <v>18788</v>
      </c>
      <c r="N125" s="98">
        <v>19158</v>
      </c>
      <c r="O125" s="98">
        <v>19166</v>
      </c>
      <c r="P125" s="98"/>
      <c r="Q125" s="98"/>
      <c r="R125" s="98"/>
      <c r="S125" s="98"/>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row>
    <row r="126" spans="1:52" ht="14.4" x14ac:dyDescent="0.3">
      <c r="A126" s="98">
        <v>120469</v>
      </c>
      <c r="B126" s="99" t="s">
        <v>305</v>
      </c>
      <c r="C126" s="98">
        <v>20693</v>
      </c>
      <c r="D126" s="99" t="s">
        <v>633</v>
      </c>
      <c r="E126" s="99" t="s">
        <v>1060</v>
      </c>
      <c r="F126" s="99">
        <v>8970</v>
      </c>
      <c r="G126" s="99" t="s">
        <v>561</v>
      </c>
      <c r="H126" s="99" t="s">
        <v>1342</v>
      </c>
      <c r="I126" s="99" t="s">
        <v>1617</v>
      </c>
      <c r="J126" s="99" t="s">
        <v>1618</v>
      </c>
      <c r="K126" s="99" t="s">
        <v>1619</v>
      </c>
      <c r="L126" s="98">
        <v>20644</v>
      </c>
      <c r="M126" s="98">
        <v>20651</v>
      </c>
      <c r="N126" s="98">
        <v>20677</v>
      </c>
      <c r="O126" s="98">
        <v>20685</v>
      </c>
      <c r="P126" s="100">
        <v>20693</v>
      </c>
      <c r="Q126" s="100">
        <v>20719</v>
      </c>
      <c r="R126" s="100">
        <v>20727</v>
      </c>
      <c r="S126" s="100">
        <v>20735</v>
      </c>
      <c r="T126" s="100">
        <v>20776</v>
      </c>
      <c r="U126" s="100">
        <v>20784</v>
      </c>
      <c r="V126" s="100">
        <v>20834</v>
      </c>
      <c r="W126" s="100">
        <v>53439</v>
      </c>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row>
    <row r="127" spans="1:52" ht="14.4" x14ac:dyDescent="0.3">
      <c r="A127" s="98">
        <v>120477</v>
      </c>
      <c r="B127" s="99" t="s">
        <v>143</v>
      </c>
      <c r="C127" s="98">
        <v>8698</v>
      </c>
      <c r="D127" s="99" t="s">
        <v>771</v>
      </c>
      <c r="E127" s="99" t="s">
        <v>772</v>
      </c>
      <c r="F127" s="99">
        <v>2320</v>
      </c>
      <c r="G127" s="99" t="s">
        <v>770</v>
      </c>
      <c r="H127" s="99" t="s">
        <v>1343</v>
      </c>
      <c r="I127" s="99" t="s">
        <v>1620</v>
      </c>
      <c r="J127" s="99" t="s">
        <v>1621</v>
      </c>
      <c r="K127" s="99" t="s">
        <v>1622</v>
      </c>
      <c r="L127" s="98">
        <v>8681</v>
      </c>
      <c r="M127" s="98">
        <v>8698</v>
      </c>
      <c r="N127" s="98">
        <v>8722</v>
      </c>
      <c r="O127" s="98">
        <v>8731</v>
      </c>
      <c r="P127" s="98">
        <v>8755</v>
      </c>
      <c r="Q127" s="98">
        <v>48371</v>
      </c>
      <c r="R127" s="98"/>
      <c r="S127" s="98"/>
      <c r="T127" s="98"/>
      <c r="U127" s="98"/>
      <c r="V127" s="98"/>
      <c r="W127" s="98"/>
      <c r="X127" s="98"/>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row>
    <row r="128" spans="1:52" ht="14.4" x14ac:dyDescent="0.3">
      <c r="A128" s="98">
        <v>120485</v>
      </c>
      <c r="B128" s="99" t="s">
        <v>144</v>
      </c>
      <c r="C128" s="98">
        <v>943</v>
      </c>
      <c r="D128" s="99" t="s">
        <v>489</v>
      </c>
      <c r="E128" s="99" t="s">
        <v>490</v>
      </c>
      <c r="F128" s="99">
        <v>2880</v>
      </c>
      <c r="G128" s="99" t="s">
        <v>491</v>
      </c>
      <c r="H128" s="99" t="s">
        <v>1344</v>
      </c>
      <c r="I128" s="99" t="s">
        <v>450</v>
      </c>
      <c r="J128" s="99" t="s">
        <v>451</v>
      </c>
      <c r="K128" s="99" t="s">
        <v>452</v>
      </c>
      <c r="L128" s="98">
        <v>901</v>
      </c>
      <c r="M128" s="98">
        <v>919</v>
      </c>
      <c r="N128" s="98">
        <v>927</v>
      </c>
      <c r="O128" s="98">
        <v>935</v>
      </c>
      <c r="P128" s="98">
        <v>943</v>
      </c>
      <c r="Q128" s="98">
        <v>951</v>
      </c>
      <c r="R128" s="100">
        <v>10579</v>
      </c>
      <c r="S128" s="100">
        <v>10686</v>
      </c>
      <c r="T128" s="100">
        <v>10702</v>
      </c>
      <c r="U128" s="100">
        <v>10711</v>
      </c>
      <c r="V128" s="100">
        <v>10751</v>
      </c>
      <c r="W128" s="100">
        <v>122804</v>
      </c>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row>
    <row r="129" spans="1:52" ht="14.4" x14ac:dyDescent="0.3">
      <c r="A129" s="98">
        <v>120493</v>
      </c>
      <c r="B129" s="99" t="s">
        <v>306</v>
      </c>
      <c r="C129" s="98">
        <v>19241</v>
      </c>
      <c r="D129" s="99" t="s">
        <v>1030</v>
      </c>
      <c r="E129" s="99" t="s">
        <v>1031</v>
      </c>
      <c r="F129" s="99">
        <v>8890</v>
      </c>
      <c r="G129" s="99" t="s">
        <v>1032</v>
      </c>
      <c r="H129" s="99" t="s">
        <v>1345</v>
      </c>
      <c r="I129" s="99" t="s">
        <v>1617</v>
      </c>
      <c r="J129" s="99" t="s">
        <v>1618</v>
      </c>
      <c r="K129" s="99" t="s">
        <v>1619</v>
      </c>
      <c r="L129" s="98">
        <v>19224</v>
      </c>
      <c r="M129" s="98">
        <v>19232</v>
      </c>
      <c r="N129" s="98">
        <v>19241</v>
      </c>
      <c r="O129" s="98">
        <v>19265</v>
      </c>
      <c r="P129" s="98">
        <v>19381</v>
      </c>
      <c r="Q129" s="98">
        <v>19752</v>
      </c>
      <c r="R129" s="98">
        <v>110445</v>
      </c>
      <c r="S129" s="98"/>
      <c r="T129" s="98"/>
      <c r="U129" s="98"/>
      <c r="V129" s="98"/>
      <c r="W129" s="98"/>
      <c r="X129" s="98"/>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row>
    <row r="130" spans="1:52" ht="14.4" x14ac:dyDescent="0.3">
      <c r="A130" s="98">
        <v>120501</v>
      </c>
      <c r="B130" s="99" t="s">
        <v>145</v>
      </c>
      <c r="C130" s="98">
        <v>22988</v>
      </c>
      <c r="D130" s="99" t="s">
        <v>1087</v>
      </c>
      <c r="E130" s="99" t="s">
        <v>1098</v>
      </c>
      <c r="F130" s="99">
        <v>9200</v>
      </c>
      <c r="G130" s="99" t="s">
        <v>577</v>
      </c>
      <c r="H130" s="99" t="s">
        <v>1346</v>
      </c>
      <c r="I130" s="99" t="s">
        <v>415</v>
      </c>
      <c r="J130" s="99" t="s">
        <v>416</v>
      </c>
      <c r="K130" s="99" t="s">
        <v>1608</v>
      </c>
      <c r="L130" s="98">
        <v>21998</v>
      </c>
      <c r="M130" s="98">
        <v>22673</v>
      </c>
      <c r="N130" s="98">
        <v>22954</v>
      </c>
      <c r="O130" s="98">
        <v>22962</v>
      </c>
      <c r="P130" s="98">
        <v>22988</v>
      </c>
      <c r="Q130" s="98">
        <v>22996</v>
      </c>
      <c r="R130" s="98">
        <v>23011</v>
      </c>
      <c r="S130" s="100">
        <v>138487</v>
      </c>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row>
    <row r="131" spans="1:52" ht="14.4" x14ac:dyDescent="0.3">
      <c r="A131" s="98">
        <v>120519</v>
      </c>
      <c r="B131" s="99" t="s">
        <v>146</v>
      </c>
      <c r="C131" s="98">
        <v>18812</v>
      </c>
      <c r="D131" s="99" t="s">
        <v>1022</v>
      </c>
      <c r="E131" s="99" t="s">
        <v>1024</v>
      </c>
      <c r="F131" s="99">
        <v>8930</v>
      </c>
      <c r="G131" s="99" t="s">
        <v>1025</v>
      </c>
      <c r="H131" s="99" t="s">
        <v>1347</v>
      </c>
      <c r="I131" s="99" t="s">
        <v>1617</v>
      </c>
      <c r="J131" s="99" t="s">
        <v>1618</v>
      </c>
      <c r="K131" s="99" t="s">
        <v>1619</v>
      </c>
      <c r="L131" s="98">
        <v>18796</v>
      </c>
      <c r="M131" s="98">
        <v>18812</v>
      </c>
      <c r="N131" s="98">
        <v>19059</v>
      </c>
      <c r="O131" s="98">
        <v>19067</v>
      </c>
      <c r="P131" s="98">
        <v>19083</v>
      </c>
      <c r="Q131" s="98">
        <v>19091</v>
      </c>
      <c r="R131" s="98">
        <v>19109</v>
      </c>
      <c r="S131" s="98"/>
      <c r="T131" s="98"/>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row>
    <row r="132" spans="1:52" ht="14.4" x14ac:dyDescent="0.3">
      <c r="A132" s="98">
        <v>120535</v>
      </c>
      <c r="B132" s="99" t="s">
        <v>220</v>
      </c>
      <c r="C132" s="98">
        <v>9531</v>
      </c>
      <c r="D132" s="99" t="s">
        <v>806</v>
      </c>
      <c r="E132" s="99" t="s">
        <v>807</v>
      </c>
      <c r="F132" s="99">
        <v>2490</v>
      </c>
      <c r="G132" s="99" t="s">
        <v>479</v>
      </c>
      <c r="H132" s="99" t="s">
        <v>1348</v>
      </c>
      <c r="I132" s="99" t="s">
        <v>1620</v>
      </c>
      <c r="J132" s="99" t="s">
        <v>1621</v>
      </c>
      <c r="K132" s="99" t="s">
        <v>1622</v>
      </c>
      <c r="L132" s="98">
        <v>9531</v>
      </c>
      <c r="M132" s="98">
        <v>9548</v>
      </c>
      <c r="N132" s="98">
        <v>9555</v>
      </c>
      <c r="O132" s="98">
        <v>123257</v>
      </c>
      <c r="P132" s="98"/>
      <c r="Q132" s="98"/>
      <c r="R132" s="98"/>
      <c r="S132" s="98"/>
      <c r="T132" s="98"/>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row>
    <row r="133" spans="1:52" ht="14.4" x14ac:dyDescent="0.3">
      <c r="A133" s="98">
        <v>120543</v>
      </c>
      <c r="B133" s="99" t="s">
        <v>307</v>
      </c>
      <c r="C133" s="98">
        <v>844</v>
      </c>
      <c r="D133" s="99" t="s">
        <v>469</v>
      </c>
      <c r="E133" s="99" t="s">
        <v>482</v>
      </c>
      <c r="F133" s="99">
        <v>2540</v>
      </c>
      <c r="G133" s="99" t="s">
        <v>483</v>
      </c>
      <c r="H133" s="99" t="s">
        <v>1349</v>
      </c>
      <c r="I133" s="99" t="s">
        <v>450</v>
      </c>
      <c r="J133" s="99" t="s">
        <v>451</v>
      </c>
      <c r="K133" s="99" t="s">
        <v>452</v>
      </c>
      <c r="L133" s="98">
        <v>562</v>
      </c>
      <c r="M133" s="98">
        <v>596</v>
      </c>
      <c r="N133" s="98">
        <v>794</v>
      </c>
      <c r="O133" s="98">
        <v>802</v>
      </c>
      <c r="P133" s="100">
        <v>811</v>
      </c>
      <c r="Q133" s="100">
        <v>828</v>
      </c>
      <c r="R133" s="100">
        <v>836</v>
      </c>
      <c r="S133" s="100">
        <v>844</v>
      </c>
      <c r="T133" s="100">
        <v>851</v>
      </c>
      <c r="U133" s="100">
        <v>869</v>
      </c>
      <c r="V133" s="100">
        <v>877</v>
      </c>
      <c r="W133" s="100">
        <v>8177</v>
      </c>
      <c r="X133" s="100">
        <v>9936</v>
      </c>
      <c r="Y133" s="100">
        <v>62166</v>
      </c>
      <c r="Z133" s="100">
        <v>118679</v>
      </c>
      <c r="AA133" s="100">
        <v>131938</v>
      </c>
      <c r="AB133" s="100">
        <v>137612</v>
      </c>
      <c r="AC133" s="100">
        <v>137621</v>
      </c>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row>
    <row r="134" spans="1:52" ht="14.4" x14ac:dyDescent="0.3">
      <c r="A134" s="98">
        <v>120551</v>
      </c>
      <c r="B134" s="99" t="s">
        <v>147</v>
      </c>
      <c r="C134" s="98">
        <v>17848</v>
      </c>
      <c r="D134" s="99" t="s">
        <v>1632</v>
      </c>
      <c r="E134" s="99" t="s">
        <v>1002</v>
      </c>
      <c r="F134" s="99">
        <v>8300</v>
      </c>
      <c r="G134" s="99" t="s">
        <v>1000</v>
      </c>
      <c r="H134" s="99" t="s">
        <v>1350</v>
      </c>
      <c r="I134" s="99" t="s">
        <v>1617</v>
      </c>
      <c r="J134" s="99" t="s">
        <v>1618</v>
      </c>
      <c r="K134" s="99" t="s">
        <v>1619</v>
      </c>
      <c r="L134" s="98">
        <v>17079</v>
      </c>
      <c r="M134" s="98">
        <v>17848</v>
      </c>
      <c r="N134" s="98">
        <v>17988</v>
      </c>
      <c r="O134" s="98">
        <v>18077</v>
      </c>
      <c r="P134" s="98">
        <v>18341</v>
      </c>
      <c r="Q134" s="98"/>
      <c r="R134" s="98"/>
      <c r="S134" s="98"/>
      <c r="T134" s="98"/>
      <c r="U134" s="98"/>
      <c r="V134" s="98"/>
      <c r="W134" s="98"/>
      <c r="X134" s="98"/>
      <c r="Y134" s="98"/>
      <c r="Z134" s="98"/>
      <c r="AA134" s="98"/>
      <c r="AB134" s="98"/>
      <c r="AC134" s="98"/>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row>
    <row r="135" spans="1:52" ht="14.4" x14ac:dyDescent="0.3">
      <c r="A135" s="98">
        <v>120576</v>
      </c>
      <c r="B135" s="99" t="s">
        <v>148</v>
      </c>
      <c r="C135" s="98">
        <v>12575</v>
      </c>
      <c r="D135" s="99" t="s">
        <v>730</v>
      </c>
      <c r="E135" s="99" t="s">
        <v>883</v>
      </c>
      <c r="F135" s="99">
        <v>3071</v>
      </c>
      <c r="G135" s="99" t="s">
        <v>882</v>
      </c>
      <c r="H135" s="99" t="s">
        <v>1562</v>
      </c>
      <c r="I135" s="99" t="s">
        <v>485</v>
      </c>
      <c r="J135" s="99" t="s">
        <v>486</v>
      </c>
      <c r="K135" s="99" t="s">
        <v>487</v>
      </c>
      <c r="L135" s="98">
        <v>5851</v>
      </c>
      <c r="M135" s="98">
        <v>5934</v>
      </c>
      <c r="N135" s="98">
        <v>12575</v>
      </c>
      <c r="O135" s="98">
        <v>12583</v>
      </c>
      <c r="P135" s="98">
        <v>12617</v>
      </c>
      <c r="Q135" s="100">
        <v>55939</v>
      </c>
      <c r="R135" s="100">
        <v>104521</v>
      </c>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row>
    <row r="136" spans="1:52" ht="14.4" x14ac:dyDescent="0.3">
      <c r="A136" s="98">
        <v>120584</v>
      </c>
      <c r="B136" s="99" t="s">
        <v>149</v>
      </c>
      <c r="C136" s="98">
        <v>24059</v>
      </c>
      <c r="D136" s="99" t="s">
        <v>1633</v>
      </c>
      <c r="E136" s="99" t="s">
        <v>1117</v>
      </c>
      <c r="F136" s="99">
        <v>9660</v>
      </c>
      <c r="G136" s="99" t="s">
        <v>1118</v>
      </c>
      <c r="H136" s="99" t="s">
        <v>1634</v>
      </c>
      <c r="I136" s="99" t="s">
        <v>415</v>
      </c>
      <c r="J136" s="99" t="s">
        <v>416</v>
      </c>
      <c r="K136" s="99" t="s">
        <v>1608</v>
      </c>
      <c r="L136" s="98">
        <v>24001</v>
      </c>
      <c r="M136" s="98">
        <v>24059</v>
      </c>
      <c r="N136" s="98">
        <v>117382</v>
      </c>
      <c r="O136" s="98"/>
      <c r="P136" s="98"/>
      <c r="Q136" s="98"/>
      <c r="R136" s="98"/>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row>
    <row r="137" spans="1:52" ht="14.4" x14ac:dyDescent="0.3">
      <c r="A137" s="98">
        <v>120601</v>
      </c>
      <c r="B137" s="99" t="s">
        <v>150</v>
      </c>
      <c r="C137" s="98">
        <v>17947</v>
      </c>
      <c r="D137" s="99" t="s">
        <v>975</v>
      </c>
      <c r="E137" s="99" t="s">
        <v>1003</v>
      </c>
      <c r="F137" s="99">
        <v>8310</v>
      </c>
      <c r="G137" s="99" t="s">
        <v>534</v>
      </c>
      <c r="H137" s="99" t="s">
        <v>1351</v>
      </c>
      <c r="I137" s="99" t="s">
        <v>1617</v>
      </c>
      <c r="J137" s="99" t="s">
        <v>1618</v>
      </c>
      <c r="K137" s="99" t="s">
        <v>1619</v>
      </c>
      <c r="L137" s="98">
        <v>16931</v>
      </c>
      <c r="M137" s="98">
        <v>16981</v>
      </c>
      <c r="N137" s="98">
        <v>17905</v>
      </c>
      <c r="O137" s="100">
        <v>17921</v>
      </c>
      <c r="P137" s="100">
        <v>17939</v>
      </c>
      <c r="Q137" s="100">
        <v>17947</v>
      </c>
      <c r="R137" s="100">
        <v>17954</v>
      </c>
      <c r="S137" s="100">
        <v>17996</v>
      </c>
      <c r="T137" s="100">
        <v>105825</v>
      </c>
      <c r="U137" s="100">
        <v>115642</v>
      </c>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row>
    <row r="138" spans="1:52" ht="14.4" x14ac:dyDescent="0.3">
      <c r="A138" s="98">
        <v>120618</v>
      </c>
      <c r="B138" s="99" t="s">
        <v>151</v>
      </c>
      <c r="C138" s="98">
        <v>8383</v>
      </c>
      <c r="D138" s="99" t="s">
        <v>659</v>
      </c>
      <c r="E138" s="99" t="s">
        <v>757</v>
      </c>
      <c r="F138" s="99">
        <v>2560</v>
      </c>
      <c r="G138" s="99" t="s">
        <v>470</v>
      </c>
      <c r="H138" s="99" t="s">
        <v>1352</v>
      </c>
      <c r="I138" s="99" t="s">
        <v>1620</v>
      </c>
      <c r="J138" s="99" t="s">
        <v>1621</v>
      </c>
      <c r="K138" s="99" t="s">
        <v>1622</v>
      </c>
      <c r="L138" s="98">
        <v>8383</v>
      </c>
      <c r="M138" s="98">
        <v>8425</v>
      </c>
      <c r="N138" s="98">
        <v>8466</v>
      </c>
      <c r="O138" s="98">
        <v>9671</v>
      </c>
      <c r="P138" s="98">
        <v>118646</v>
      </c>
      <c r="Q138" s="98">
        <v>118661</v>
      </c>
      <c r="R138" s="98"/>
      <c r="S138" s="98"/>
      <c r="T138" s="98"/>
      <c r="U138" s="98"/>
      <c r="V138" s="98"/>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row>
    <row r="139" spans="1:52" ht="14.4" x14ac:dyDescent="0.3">
      <c r="A139" s="98">
        <v>120626</v>
      </c>
      <c r="B139" s="99" t="s">
        <v>221</v>
      </c>
      <c r="C139" s="98">
        <v>12591</v>
      </c>
      <c r="D139" s="99" t="s">
        <v>881</v>
      </c>
      <c r="E139" s="99" t="s">
        <v>884</v>
      </c>
      <c r="F139" s="99">
        <v>3078</v>
      </c>
      <c r="G139" s="99" t="s">
        <v>885</v>
      </c>
      <c r="H139" s="99" t="s">
        <v>1353</v>
      </c>
      <c r="I139" s="99" t="s">
        <v>485</v>
      </c>
      <c r="J139" s="99" t="s">
        <v>486</v>
      </c>
      <c r="K139" s="99" t="s">
        <v>487</v>
      </c>
      <c r="L139" s="98">
        <v>12559</v>
      </c>
      <c r="M139" s="98">
        <v>12567</v>
      </c>
      <c r="N139" s="98">
        <v>12591</v>
      </c>
      <c r="O139" s="98">
        <v>12609</v>
      </c>
      <c r="P139" s="98"/>
      <c r="Q139" s="98"/>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row>
    <row r="140" spans="1:52" ht="14.4" x14ac:dyDescent="0.3">
      <c r="A140" s="98">
        <v>120634</v>
      </c>
      <c r="B140" s="99" t="s">
        <v>308</v>
      </c>
      <c r="C140" s="98">
        <v>113621</v>
      </c>
      <c r="D140" s="99" t="s">
        <v>532</v>
      </c>
      <c r="E140" s="99" t="s">
        <v>1193</v>
      </c>
      <c r="F140" s="99">
        <v>8200</v>
      </c>
      <c r="G140" s="99" t="s">
        <v>540</v>
      </c>
      <c r="H140" s="99" t="s">
        <v>1354</v>
      </c>
      <c r="I140" s="99" t="s">
        <v>1617</v>
      </c>
      <c r="J140" s="99" t="s">
        <v>1618</v>
      </c>
      <c r="K140" s="99" t="s">
        <v>1619</v>
      </c>
      <c r="L140" s="98">
        <v>1958</v>
      </c>
      <c r="M140" s="98">
        <v>1974</v>
      </c>
      <c r="N140" s="98">
        <v>1982</v>
      </c>
      <c r="O140" s="98">
        <v>1991</v>
      </c>
      <c r="P140" s="100">
        <v>2006</v>
      </c>
      <c r="Q140" s="100">
        <v>2014</v>
      </c>
      <c r="R140" s="100">
        <v>2022</v>
      </c>
      <c r="S140" s="100">
        <v>2071</v>
      </c>
      <c r="T140" s="100">
        <v>2089</v>
      </c>
      <c r="U140" s="100">
        <v>2097</v>
      </c>
      <c r="V140" s="100">
        <v>2147</v>
      </c>
      <c r="W140" s="100">
        <v>2154</v>
      </c>
      <c r="X140" s="100">
        <v>2162</v>
      </c>
      <c r="Y140" s="100">
        <v>2171</v>
      </c>
      <c r="Z140" s="100">
        <v>2188</v>
      </c>
      <c r="AA140" s="100">
        <v>2246</v>
      </c>
      <c r="AB140" s="100">
        <v>18333</v>
      </c>
      <c r="AC140" s="100">
        <v>109851</v>
      </c>
      <c r="AD140" s="100">
        <v>113621</v>
      </c>
      <c r="AE140" s="100">
        <v>132316</v>
      </c>
      <c r="AF140" s="100">
        <v>138644</v>
      </c>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row>
    <row r="141" spans="1:52" ht="14.4" x14ac:dyDescent="0.3">
      <c r="A141" s="98">
        <v>120659</v>
      </c>
      <c r="B141" s="99" t="s">
        <v>152</v>
      </c>
      <c r="C141" s="98">
        <v>46268</v>
      </c>
      <c r="D141" s="99" t="s">
        <v>778</v>
      </c>
      <c r="E141" s="99" t="s">
        <v>1158</v>
      </c>
      <c r="F141" s="99">
        <v>2340</v>
      </c>
      <c r="G141" s="99" t="s">
        <v>473</v>
      </c>
      <c r="H141" s="99" t="s">
        <v>1355</v>
      </c>
      <c r="I141" s="99" t="s">
        <v>1620</v>
      </c>
      <c r="J141" s="99" t="s">
        <v>1621</v>
      </c>
      <c r="K141" s="99" t="s">
        <v>1622</v>
      </c>
      <c r="L141" s="98">
        <v>8771</v>
      </c>
      <c r="M141" s="98">
        <v>8789</v>
      </c>
      <c r="N141" s="98">
        <v>46268</v>
      </c>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100"/>
      <c r="AL141" s="100"/>
      <c r="AM141" s="100"/>
      <c r="AN141" s="100"/>
      <c r="AO141" s="100"/>
      <c r="AP141" s="100"/>
      <c r="AQ141" s="100"/>
      <c r="AR141" s="100"/>
      <c r="AS141" s="100"/>
      <c r="AT141" s="100"/>
      <c r="AU141" s="100"/>
      <c r="AV141" s="100"/>
      <c r="AW141" s="100"/>
      <c r="AX141" s="100"/>
      <c r="AY141" s="100"/>
      <c r="AZ141" s="100"/>
    </row>
    <row r="142" spans="1:52" ht="14.4" x14ac:dyDescent="0.3">
      <c r="A142" s="98">
        <v>120667</v>
      </c>
      <c r="B142" s="99" t="s">
        <v>309</v>
      </c>
      <c r="C142" s="98">
        <v>18325</v>
      </c>
      <c r="D142" s="99" t="s">
        <v>1011</v>
      </c>
      <c r="E142" s="99" t="s">
        <v>1012</v>
      </c>
      <c r="F142" s="99">
        <v>8420</v>
      </c>
      <c r="G142" s="99" t="s">
        <v>1013</v>
      </c>
      <c r="H142" s="99" t="s">
        <v>1635</v>
      </c>
      <c r="I142" s="99" t="s">
        <v>1617</v>
      </c>
      <c r="J142" s="99" t="s">
        <v>1618</v>
      </c>
      <c r="K142" s="99" t="s">
        <v>1619</v>
      </c>
      <c r="L142" s="98">
        <v>18011</v>
      </c>
      <c r="M142" s="98">
        <v>18028</v>
      </c>
      <c r="N142" s="98">
        <v>18325</v>
      </c>
      <c r="O142" s="98">
        <v>18358</v>
      </c>
      <c r="P142" s="98">
        <v>18366</v>
      </c>
      <c r="Q142" s="100">
        <v>105478</v>
      </c>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row>
    <row r="143" spans="1:52" ht="14.4" x14ac:dyDescent="0.3">
      <c r="A143" s="98">
        <v>120683</v>
      </c>
      <c r="B143" s="99" t="s">
        <v>153</v>
      </c>
      <c r="C143" s="98">
        <v>20511</v>
      </c>
      <c r="D143" s="99" t="s">
        <v>633</v>
      </c>
      <c r="E143" s="99" t="s">
        <v>1057</v>
      </c>
      <c r="F143" s="99">
        <v>8920</v>
      </c>
      <c r="G143" s="99" t="s">
        <v>1056</v>
      </c>
      <c r="H143" s="99" t="s">
        <v>1356</v>
      </c>
      <c r="I143" s="99" t="s">
        <v>1617</v>
      </c>
      <c r="J143" s="99" t="s">
        <v>1618</v>
      </c>
      <c r="K143" s="99" t="s">
        <v>1619</v>
      </c>
      <c r="L143" s="98">
        <v>19331</v>
      </c>
      <c r="M143" s="98">
        <v>19372</v>
      </c>
      <c r="N143" s="98">
        <v>20503</v>
      </c>
      <c r="O143" s="98">
        <v>20511</v>
      </c>
      <c r="P143" s="98">
        <v>20537</v>
      </c>
      <c r="Q143" s="98"/>
      <c r="R143" s="98"/>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row>
    <row r="144" spans="1:52" ht="14.4" x14ac:dyDescent="0.3">
      <c r="A144" s="98">
        <v>120725</v>
      </c>
      <c r="B144" s="99" t="s">
        <v>222</v>
      </c>
      <c r="C144" s="98">
        <v>17541</v>
      </c>
      <c r="D144" s="99" t="s">
        <v>633</v>
      </c>
      <c r="E144" s="99" t="s">
        <v>992</v>
      </c>
      <c r="F144" s="99">
        <v>8200</v>
      </c>
      <c r="G144" s="99" t="s">
        <v>540</v>
      </c>
      <c r="H144" s="99" t="s">
        <v>1357</v>
      </c>
      <c r="I144" s="99" t="s">
        <v>1617</v>
      </c>
      <c r="J144" s="99" t="s">
        <v>1618</v>
      </c>
      <c r="K144" s="99" t="s">
        <v>1619</v>
      </c>
      <c r="L144" s="98">
        <v>16865</v>
      </c>
      <c r="M144" s="98">
        <v>17541</v>
      </c>
      <c r="N144" s="98">
        <v>17558</v>
      </c>
      <c r="O144" s="98">
        <v>17566</v>
      </c>
      <c r="P144" s="98">
        <v>17574</v>
      </c>
      <c r="Q144" s="100">
        <v>17582</v>
      </c>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row>
    <row r="145" spans="1:52" ht="14.4" x14ac:dyDescent="0.3">
      <c r="A145" s="98">
        <v>120733</v>
      </c>
      <c r="B145" s="99" t="s">
        <v>154</v>
      </c>
      <c r="C145" s="98">
        <v>5801</v>
      </c>
      <c r="D145" s="99" t="s">
        <v>688</v>
      </c>
      <c r="E145" s="99" t="s">
        <v>689</v>
      </c>
      <c r="F145" s="99">
        <v>3090</v>
      </c>
      <c r="G145" s="99" t="s">
        <v>445</v>
      </c>
      <c r="H145" s="99" t="s">
        <v>1358</v>
      </c>
      <c r="I145" s="99" t="s">
        <v>485</v>
      </c>
      <c r="J145" s="99" t="s">
        <v>486</v>
      </c>
      <c r="K145" s="99" t="s">
        <v>487</v>
      </c>
      <c r="L145" s="98">
        <v>5793</v>
      </c>
      <c r="M145" s="98">
        <v>5801</v>
      </c>
      <c r="N145" s="98">
        <v>5843</v>
      </c>
      <c r="O145" s="98">
        <v>12476</v>
      </c>
      <c r="P145" s="98">
        <v>12484</v>
      </c>
      <c r="Q145" s="98">
        <v>12501</v>
      </c>
      <c r="R145" s="98">
        <v>12518</v>
      </c>
      <c r="S145" s="100">
        <v>133413</v>
      </c>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row>
    <row r="146" spans="1:52" ht="14.4" x14ac:dyDescent="0.3">
      <c r="A146" s="98">
        <v>120741</v>
      </c>
      <c r="B146" s="99" t="s">
        <v>310</v>
      </c>
      <c r="C146" s="98">
        <v>115634</v>
      </c>
      <c r="D146" s="99" t="s">
        <v>1008</v>
      </c>
      <c r="E146" s="99" t="s">
        <v>1194</v>
      </c>
      <c r="F146" s="99">
        <v>8400</v>
      </c>
      <c r="G146" s="99" t="s">
        <v>543</v>
      </c>
      <c r="H146" s="99" t="s">
        <v>1359</v>
      </c>
      <c r="I146" s="99" t="s">
        <v>1617</v>
      </c>
      <c r="J146" s="99" t="s">
        <v>1618</v>
      </c>
      <c r="K146" s="99" t="s">
        <v>1619</v>
      </c>
      <c r="L146" s="98">
        <v>18176</v>
      </c>
      <c r="M146" s="98">
        <v>18184</v>
      </c>
      <c r="N146" s="98">
        <v>18234</v>
      </c>
      <c r="O146" s="98">
        <v>18259</v>
      </c>
      <c r="P146" s="98">
        <v>18291</v>
      </c>
      <c r="Q146" s="98">
        <v>18309</v>
      </c>
      <c r="R146" s="98">
        <v>106203</v>
      </c>
      <c r="S146" s="98">
        <v>115634</v>
      </c>
      <c r="T146" s="98">
        <v>118653</v>
      </c>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row>
    <row r="147" spans="1:52" ht="14.4" x14ac:dyDescent="0.3">
      <c r="A147" s="98">
        <v>120758</v>
      </c>
      <c r="B147" s="99" t="s">
        <v>311</v>
      </c>
      <c r="C147" s="98">
        <v>8714</v>
      </c>
      <c r="D147" s="99" t="s">
        <v>773</v>
      </c>
      <c r="E147" s="99" t="s">
        <v>774</v>
      </c>
      <c r="F147" s="99">
        <v>2328</v>
      </c>
      <c r="G147" s="99" t="s">
        <v>775</v>
      </c>
      <c r="H147" s="99" t="s">
        <v>1360</v>
      </c>
      <c r="I147" s="99" t="s">
        <v>1620</v>
      </c>
      <c r="J147" s="99" t="s">
        <v>1621</v>
      </c>
      <c r="K147" s="99" t="s">
        <v>1622</v>
      </c>
      <c r="L147" s="98">
        <v>8706</v>
      </c>
      <c r="M147" s="98">
        <v>8714</v>
      </c>
      <c r="N147" s="98">
        <v>47142</v>
      </c>
      <c r="O147" s="98">
        <v>55822</v>
      </c>
      <c r="P147" s="98"/>
      <c r="Q147" s="98"/>
      <c r="R147" s="98"/>
      <c r="S147" s="98"/>
      <c r="T147" s="98"/>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row>
    <row r="148" spans="1:52" ht="14.4" x14ac:dyDescent="0.3">
      <c r="A148" s="98">
        <v>120766</v>
      </c>
      <c r="B148" s="99" t="s">
        <v>312</v>
      </c>
      <c r="C148" s="98">
        <v>44818</v>
      </c>
      <c r="D148" s="99" t="s">
        <v>877</v>
      </c>
      <c r="E148" s="99" t="s">
        <v>1149</v>
      </c>
      <c r="F148" s="99">
        <v>3020</v>
      </c>
      <c r="G148" s="99" t="s">
        <v>1150</v>
      </c>
      <c r="H148" s="99" t="s">
        <v>1361</v>
      </c>
      <c r="I148" s="99" t="s">
        <v>438</v>
      </c>
      <c r="J148" s="99" t="s">
        <v>439</v>
      </c>
      <c r="K148" s="99" t="s">
        <v>440</v>
      </c>
      <c r="L148" s="98">
        <v>12369</v>
      </c>
      <c r="M148" s="98">
        <v>12377</v>
      </c>
      <c r="N148" s="98">
        <v>12401</v>
      </c>
      <c r="O148" s="98">
        <v>44818</v>
      </c>
      <c r="P148" s="100">
        <v>47134</v>
      </c>
      <c r="Q148" s="100">
        <v>106179</v>
      </c>
      <c r="R148" s="100">
        <v>110254</v>
      </c>
      <c r="S148" s="100">
        <v>128488</v>
      </c>
      <c r="T148" s="100">
        <v>130906</v>
      </c>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row>
    <row r="149" spans="1:52" ht="14.4" x14ac:dyDescent="0.3">
      <c r="A149" s="98">
        <v>120782</v>
      </c>
      <c r="B149" s="99" t="s">
        <v>155</v>
      </c>
      <c r="C149" s="98">
        <v>18085</v>
      </c>
      <c r="D149" s="99" t="s">
        <v>1001</v>
      </c>
      <c r="E149" s="99" t="s">
        <v>1007</v>
      </c>
      <c r="F149" s="99">
        <v>8301</v>
      </c>
      <c r="G149" s="99" t="s">
        <v>1006</v>
      </c>
      <c r="H149" s="99" t="s">
        <v>1362</v>
      </c>
      <c r="I149" s="99" t="s">
        <v>1617</v>
      </c>
      <c r="J149" s="99" t="s">
        <v>1618</v>
      </c>
      <c r="K149" s="99" t="s">
        <v>1619</v>
      </c>
      <c r="L149" s="98">
        <v>17831</v>
      </c>
      <c r="M149" s="98">
        <v>17855</v>
      </c>
      <c r="N149" s="98">
        <v>17863</v>
      </c>
      <c r="O149" s="98">
        <v>17871</v>
      </c>
      <c r="P149" s="98">
        <v>18044</v>
      </c>
      <c r="Q149" s="98">
        <v>18051</v>
      </c>
      <c r="R149" s="98">
        <v>18085</v>
      </c>
      <c r="S149" s="98"/>
      <c r="T149" s="98"/>
      <c r="U149" s="98"/>
      <c r="V149" s="98"/>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row>
    <row r="150" spans="1:52" ht="14.4" x14ac:dyDescent="0.3">
      <c r="A150" s="98">
        <v>120791</v>
      </c>
      <c r="B150" s="99" t="s">
        <v>156</v>
      </c>
      <c r="C150" s="98">
        <v>5777</v>
      </c>
      <c r="D150" s="99" t="s">
        <v>657</v>
      </c>
      <c r="E150" s="99" t="s">
        <v>686</v>
      </c>
      <c r="F150" s="99">
        <v>1745</v>
      </c>
      <c r="G150" s="99" t="s">
        <v>444</v>
      </c>
      <c r="H150" s="99" t="s">
        <v>1363</v>
      </c>
      <c r="I150" s="99" t="s">
        <v>485</v>
      </c>
      <c r="J150" s="99" t="s">
        <v>486</v>
      </c>
      <c r="K150" s="99" t="s">
        <v>487</v>
      </c>
      <c r="L150" s="98">
        <v>5058</v>
      </c>
      <c r="M150" s="98">
        <v>5082</v>
      </c>
      <c r="N150" s="98">
        <v>5751</v>
      </c>
      <c r="O150" s="98">
        <v>5769</v>
      </c>
      <c r="P150" s="98">
        <v>5777</v>
      </c>
      <c r="Q150" s="98">
        <v>130881</v>
      </c>
      <c r="R150" s="98"/>
      <c r="S150" s="98"/>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row>
    <row r="151" spans="1:52" ht="14.4" x14ac:dyDescent="0.3">
      <c r="A151" s="98">
        <v>120816</v>
      </c>
      <c r="B151" s="99" t="s">
        <v>313</v>
      </c>
      <c r="C151" s="98">
        <v>13805</v>
      </c>
      <c r="D151" s="99" t="s">
        <v>659</v>
      </c>
      <c r="E151" s="99" t="s">
        <v>907</v>
      </c>
      <c r="F151" s="99">
        <v>3545</v>
      </c>
      <c r="G151" s="99" t="s">
        <v>908</v>
      </c>
      <c r="H151" s="99" t="s">
        <v>1563</v>
      </c>
      <c r="I151" s="99" t="s">
        <v>1620</v>
      </c>
      <c r="J151" s="99" t="s">
        <v>1621</v>
      </c>
      <c r="K151" s="99" t="s">
        <v>1622</v>
      </c>
      <c r="L151" s="98">
        <v>13805</v>
      </c>
      <c r="M151" s="98">
        <v>14308</v>
      </c>
      <c r="N151" s="98">
        <v>16501</v>
      </c>
      <c r="O151" s="98">
        <v>16634</v>
      </c>
      <c r="P151" s="98"/>
      <c r="Q151" s="98"/>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row>
    <row r="152" spans="1:52" ht="14.4" x14ac:dyDescent="0.3">
      <c r="A152" s="98">
        <v>120824</v>
      </c>
      <c r="B152" s="99" t="s">
        <v>223</v>
      </c>
      <c r="C152" s="98">
        <v>18705</v>
      </c>
      <c r="D152" s="99" t="s">
        <v>1015</v>
      </c>
      <c r="E152" s="99" t="s">
        <v>1018</v>
      </c>
      <c r="F152" s="99">
        <v>8500</v>
      </c>
      <c r="G152" s="99" t="s">
        <v>547</v>
      </c>
      <c r="H152" s="99" t="s">
        <v>1364</v>
      </c>
      <c r="I152" s="99" t="s">
        <v>1617</v>
      </c>
      <c r="J152" s="99" t="s">
        <v>1618</v>
      </c>
      <c r="K152" s="99" t="s">
        <v>1619</v>
      </c>
      <c r="L152" s="98">
        <v>18655</v>
      </c>
      <c r="M152" s="98">
        <v>18663</v>
      </c>
      <c r="N152" s="98">
        <v>18705</v>
      </c>
      <c r="O152" s="98">
        <v>18713</v>
      </c>
      <c r="P152" s="100">
        <v>18721</v>
      </c>
      <c r="Q152" s="100">
        <v>18747</v>
      </c>
      <c r="R152" s="100">
        <v>115709</v>
      </c>
      <c r="S152" s="100">
        <v>137497</v>
      </c>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row>
    <row r="153" spans="1:52" ht="14.4" x14ac:dyDescent="0.3">
      <c r="A153" s="98">
        <v>120841</v>
      </c>
      <c r="B153" s="99" t="s">
        <v>250</v>
      </c>
      <c r="C153" s="98">
        <v>13433</v>
      </c>
      <c r="D153" s="99" t="s">
        <v>1564</v>
      </c>
      <c r="E153" s="99" t="s">
        <v>903</v>
      </c>
      <c r="F153" s="99">
        <v>3300</v>
      </c>
      <c r="G153" s="99" t="s">
        <v>508</v>
      </c>
      <c r="H153" s="99" t="s">
        <v>1365</v>
      </c>
      <c r="I153" s="99" t="s">
        <v>438</v>
      </c>
      <c r="J153" s="99" t="s">
        <v>439</v>
      </c>
      <c r="K153" s="99" t="s">
        <v>440</v>
      </c>
      <c r="L153" s="98">
        <v>1149</v>
      </c>
      <c r="M153" s="98">
        <v>1156</v>
      </c>
      <c r="N153" s="98">
        <v>1164</v>
      </c>
      <c r="O153" s="98">
        <v>1248</v>
      </c>
      <c r="P153" s="98">
        <v>1313</v>
      </c>
      <c r="Q153" s="98">
        <v>1339</v>
      </c>
      <c r="R153" s="98">
        <v>1354</v>
      </c>
      <c r="S153" s="98">
        <v>12351</v>
      </c>
      <c r="T153" s="100">
        <v>13425</v>
      </c>
      <c r="U153" s="100">
        <v>13433</v>
      </c>
      <c r="V153" s="100">
        <v>13656</v>
      </c>
      <c r="W153" s="100">
        <v>55897</v>
      </c>
      <c r="X153" s="100">
        <v>56011</v>
      </c>
      <c r="Y153" s="100">
        <v>123091</v>
      </c>
      <c r="Z153" s="100">
        <v>128231</v>
      </c>
      <c r="AA153" s="100">
        <v>129015</v>
      </c>
      <c r="AB153" s="100">
        <v>130021</v>
      </c>
      <c r="AC153" s="100">
        <v>130922</v>
      </c>
      <c r="AD153" s="100">
        <v>132241</v>
      </c>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row>
    <row r="154" spans="1:52" ht="14.4" x14ac:dyDescent="0.3">
      <c r="A154" s="98">
        <v>120857</v>
      </c>
      <c r="B154" s="99" t="s">
        <v>314</v>
      </c>
      <c r="C154" s="98">
        <v>20305</v>
      </c>
      <c r="D154" s="99" t="s">
        <v>1045</v>
      </c>
      <c r="E154" s="99" t="s">
        <v>1053</v>
      </c>
      <c r="F154" s="99">
        <v>8700</v>
      </c>
      <c r="G154" s="99" t="s">
        <v>559</v>
      </c>
      <c r="H154" s="99" t="s">
        <v>1366</v>
      </c>
      <c r="I154" s="99" t="s">
        <v>1617</v>
      </c>
      <c r="J154" s="99" t="s">
        <v>1618</v>
      </c>
      <c r="K154" s="99" t="s">
        <v>1619</v>
      </c>
      <c r="L154" s="98">
        <v>19851</v>
      </c>
      <c r="M154" s="98">
        <v>20305</v>
      </c>
      <c r="N154" s="98">
        <v>20313</v>
      </c>
      <c r="O154" s="98">
        <v>20347</v>
      </c>
      <c r="P154" s="98">
        <v>20354</v>
      </c>
      <c r="Q154" s="98">
        <v>44677</v>
      </c>
      <c r="R154" s="98"/>
      <c r="S154" s="98"/>
      <c r="T154" s="98"/>
      <c r="U154" s="98"/>
      <c r="V154" s="98"/>
      <c r="W154" s="98"/>
      <c r="X154" s="98"/>
      <c r="Y154" s="98"/>
      <c r="Z154" s="98"/>
      <c r="AA154" s="98"/>
      <c r="AB154" s="98"/>
      <c r="AC154" s="98"/>
      <c r="AD154" s="98"/>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row>
    <row r="155" spans="1:52" ht="14.4" x14ac:dyDescent="0.3">
      <c r="A155" s="98">
        <v>120865</v>
      </c>
      <c r="B155" s="99" t="s">
        <v>157</v>
      </c>
      <c r="C155" s="98">
        <v>17012</v>
      </c>
      <c r="D155" s="99" t="s">
        <v>620</v>
      </c>
      <c r="E155" s="99" t="s">
        <v>976</v>
      </c>
      <c r="F155" s="99">
        <v>8020</v>
      </c>
      <c r="G155" s="99" t="s">
        <v>533</v>
      </c>
      <c r="H155" s="99" t="s">
        <v>1367</v>
      </c>
      <c r="I155" s="99" t="s">
        <v>1617</v>
      </c>
      <c r="J155" s="99" t="s">
        <v>1618</v>
      </c>
      <c r="K155" s="99" t="s">
        <v>1619</v>
      </c>
      <c r="L155" s="98">
        <v>17012</v>
      </c>
      <c r="M155" s="98">
        <v>17038</v>
      </c>
      <c r="N155" s="98">
        <v>17046</v>
      </c>
      <c r="O155" s="98">
        <v>17103</v>
      </c>
      <c r="P155" s="98">
        <v>17111</v>
      </c>
      <c r="Q155" s="98">
        <v>17129</v>
      </c>
      <c r="R155" s="98">
        <v>118687</v>
      </c>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row>
    <row r="156" spans="1:52" ht="14.4" x14ac:dyDescent="0.3">
      <c r="A156" s="98">
        <v>120873</v>
      </c>
      <c r="B156" s="99" t="s">
        <v>224</v>
      </c>
      <c r="C156" s="98">
        <v>2311</v>
      </c>
      <c r="D156" s="99" t="s">
        <v>1610</v>
      </c>
      <c r="E156" s="99" t="s">
        <v>548</v>
      </c>
      <c r="F156" s="99">
        <v>8510</v>
      </c>
      <c r="G156" s="99" t="s">
        <v>549</v>
      </c>
      <c r="H156" s="99" t="s">
        <v>1368</v>
      </c>
      <c r="I156" s="99" t="s">
        <v>485</v>
      </c>
      <c r="J156" s="99" t="s">
        <v>486</v>
      </c>
      <c r="K156" s="99" t="s">
        <v>487</v>
      </c>
      <c r="L156" s="98">
        <v>1941</v>
      </c>
      <c r="M156" s="98">
        <v>2303</v>
      </c>
      <c r="N156" s="98">
        <v>2311</v>
      </c>
      <c r="O156" s="98">
        <v>2329</v>
      </c>
      <c r="P156" s="98">
        <v>2345</v>
      </c>
      <c r="Q156" s="98">
        <v>2394</v>
      </c>
      <c r="R156" s="98">
        <v>2402</v>
      </c>
      <c r="S156" s="100">
        <v>2444</v>
      </c>
      <c r="T156" s="100">
        <v>2469</v>
      </c>
      <c r="U156" s="100">
        <v>124206</v>
      </c>
      <c r="V156" s="100">
        <v>137505</v>
      </c>
      <c r="W156" s="100">
        <v>139121</v>
      </c>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row>
    <row r="157" spans="1:52" ht="14.4" x14ac:dyDescent="0.3">
      <c r="A157" s="98">
        <v>120881</v>
      </c>
      <c r="B157" s="99" t="s">
        <v>158</v>
      </c>
      <c r="C157" s="98">
        <v>2519</v>
      </c>
      <c r="D157" s="99" t="s">
        <v>1611</v>
      </c>
      <c r="E157" s="99" t="s">
        <v>557</v>
      </c>
      <c r="F157" s="99">
        <v>8800</v>
      </c>
      <c r="G157" s="99" t="s">
        <v>558</v>
      </c>
      <c r="H157" s="99" t="s">
        <v>1369</v>
      </c>
      <c r="I157" s="99" t="s">
        <v>1617</v>
      </c>
      <c r="J157" s="99" t="s">
        <v>1618</v>
      </c>
      <c r="K157" s="99" t="s">
        <v>1619</v>
      </c>
      <c r="L157" s="98">
        <v>2031</v>
      </c>
      <c r="M157" s="98">
        <v>2428</v>
      </c>
      <c r="N157" s="98">
        <v>2436</v>
      </c>
      <c r="O157" s="98">
        <v>2451</v>
      </c>
      <c r="P157" s="98">
        <v>2485</v>
      </c>
      <c r="Q157" s="98">
        <v>2519</v>
      </c>
      <c r="R157" s="98">
        <v>2527</v>
      </c>
      <c r="S157" s="98">
        <v>2535</v>
      </c>
      <c r="T157" s="98">
        <v>138404</v>
      </c>
      <c r="U157" s="98"/>
      <c r="V157" s="98"/>
      <c r="W157" s="98"/>
      <c r="X157" s="98"/>
      <c r="Y157" s="98"/>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row>
    <row r="158" spans="1:52" ht="14.4" x14ac:dyDescent="0.3">
      <c r="A158" s="98">
        <v>120899</v>
      </c>
      <c r="B158" s="99" t="s">
        <v>159</v>
      </c>
      <c r="C158" s="98">
        <v>20388</v>
      </c>
      <c r="D158" s="99" t="s">
        <v>1054</v>
      </c>
      <c r="E158" s="99" t="s">
        <v>1055</v>
      </c>
      <c r="F158" s="99">
        <v>8900</v>
      </c>
      <c r="G158" s="99" t="s">
        <v>560</v>
      </c>
      <c r="H158" s="99" t="s">
        <v>1370</v>
      </c>
      <c r="I158" s="99" t="s">
        <v>1617</v>
      </c>
      <c r="J158" s="99" t="s">
        <v>1618</v>
      </c>
      <c r="K158" s="99" t="s">
        <v>1619</v>
      </c>
      <c r="L158" s="98">
        <v>20371</v>
      </c>
      <c r="M158" s="98">
        <v>20388</v>
      </c>
      <c r="N158" s="98">
        <v>20396</v>
      </c>
      <c r="O158" s="98">
        <v>20404</v>
      </c>
      <c r="P158" s="98">
        <v>20412</v>
      </c>
      <c r="Q158" s="98">
        <v>20421</v>
      </c>
      <c r="R158" s="98">
        <v>20446</v>
      </c>
      <c r="S158" s="98"/>
      <c r="T158" s="98"/>
      <c r="U158" s="98"/>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row>
    <row r="159" spans="1:52" ht="14.4" x14ac:dyDescent="0.3">
      <c r="A159" s="98">
        <v>120915</v>
      </c>
      <c r="B159" s="99" t="s">
        <v>315</v>
      </c>
      <c r="C159" s="98">
        <v>24273</v>
      </c>
      <c r="D159" s="99" t="s">
        <v>1068</v>
      </c>
      <c r="E159" s="99" t="s">
        <v>1124</v>
      </c>
      <c r="F159" s="99">
        <v>9840</v>
      </c>
      <c r="G159" s="99" t="s">
        <v>589</v>
      </c>
      <c r="H159" s="99" t="s">
        <v>1371</v>
      </c>
      <c r="I159" s="99" t="s">
        <v>415</v>
      </c>
      <c r="J159" s="99" t="s">
        <v>416</v>
      </c>
      <c r="K159" s="99" t="s">
        <v>1608</v>
      </c>
      <c r="L159" s="98">
        <v>21246</v>
      </c>
      <c r="M159" s="98">
        <v>24265</v>
      </c>
      <c r="N159" s="98">
        <v>24273</v>
      </c>
      <c r="O159" s="98">
        <v>24299</v>
      </c>
      <c r="P159" s="98">
        <v>24323</v>
      </c>
      <c r="Q159" s="98">
        <v>24621</v>
      </c>
      <c r="R159" s="98">
        <v>131466</v>
      </c>
      <c r="S159" s="98"/>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row>
    <row r="160" spans="1:52" ht="14.4" x14ac:dyDescent="0.3">
      <c r="A160" s="98">
        <v>120949</v>
      </c>
      <c r="B160" s="99" t="s">
        <v>316</v>
      </c>
      <c r="C160" s="98">
        <v>21006</v>
      </c>
      <c r="D160" s="99" t="s">
        <v>1372</v>
      </c>
      <c r="E160" s="99" t="s">
        <v>1064</v>
      </c>
      <c r="F160" s="99">
        <v>9000</v>
      </c>
      <c r="G160" s="99" t="s">
        <v>562</v>
      </c>
      <c r="H160" s="99" t="s">
        <v>1373</v>
      </c>
      <c r="I160" s="99" t="s">
        <v>415</v>
      </c>
      <c r="J160" s="99" t="s">
        <v>416</v>
      </c>
      <c r="K160" s="99" t="s">
        <v>1608</v>
      </c>
      <c r="L160" s="98">
        <v>21006</v>
      </c>
      <c r="M160" s="98">
        <v>21212</v>
      </c>
      <c r="N160" s="98">
        <v>21287</v>
      </c>
      <c r="O160" s="98">
        <v>24588</v>
      </c>
      <c r="P160" s="98">
        <v>24596</v>
      </c>
      <c r="Q160" s="98">
        <v>24612</v>
      </c>
      <c r="R160" s="98">
        <v>45245</v>
      </c>
      <c r="S160" s="100">
        <v>107797</v>
      </c>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row>
    <row r="161" spans="1:52" ht="14.4" x14ac:dyDescent="0.3">
      <c r="A161" s="98">
        <v>120956</v>
      </c>
      <c r="B161" s="99" t="s">
        <v>225</v>
      </c>
      <c r="C161" s="98">
        <v>10975</v>
      </c>
      <c r="D161" s="99" t="s">
        <v>633</v>
      </c>
      <c r="E161" s="99" t="s">
        <v>836</v>
      </c>
      <c r="F161" s="99">
        <v>9100</v>
      </c>
      <c r="G161" s="99" t="s">
        <v>493</v>
      </c>
      <c r="H161" s="99" t="s">
        <v>1374</v>
      </c>
      <c r="I161" s="99" t="s">
        <v>485</v>
      </c>
      <c r="J161" s="99" t="s">
        <v>486</v>
      </c>
      <c r="K161" s="99" t="s">
        <v>487</v>
      </c>
      <c r="L161" s="98">
        <v>10975</v>
      </c>
      <c r="M161" s="98">
        <v>11023</v>
      </c>
      <c r="N161" s="98">
        <v>11049</v>
      </c>
      <c r="O161" s="98">
        <v>11056</v>
      </c>
      <c r="P161" s="98">
        <v>22103</v>
      </c>
      <c r="Q161" s="98">
        <v>22145</v>
      </c>
      <c r="R161" s="98">
        <v>22152</v>
      </c>
      <c r="S161" s="98">
        <v>22161</v>
      </c>
      <c r="T161" s="98">
        <v>46227</v>
      </c>
      <c r="U161" s="98">
        <v>115741</v>
      </c>
      <c r="V161" s="100">
        <v>115758</v>
      </c>
      <c r="W161" s="100">
        <v>138586</v>
      </c>
      <c r="X161" s="100">
        <v>138628</v>
      </c>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row>
    <row r="162" spans="1:52" ht="14.4" x14ac:dyDescent="0.3">
      <c r="A162" s="98">
        <v>120964</v>
      </c>
      <c r="B162" s="99" t="s">
        <v>317</v>
      </c>
      <c r="C162" s="98">
        <v>21311</v>
      </c>
      <c r="D162" s="99" t="s">
        <v>670</v>
      </c>
      <c r="E162" s="99" t="s">
        <v>1070</v>
      </c>
      <c r="F162" s="99">
        <v>9041</v>
      </c>
      <c r="G162" s="99" t="s">
        <v>564</v>
      </c>
      <c r="H162" s="99" t="s">
        <v>1375</v>
      </c>
      <c r="I162" s="99" t="s">
        <v>415</v>
      </c>
      <c r="J162" s="99" t="s">
        <v>416</v>
      </c>
      <c r="K162" s="99" t="s">
        <v>1608</v>
      </c>
      <c r="L162" s="98">
        <v>21303</v>
      </c>
      <c r="M162" s="98">
        <v>21311</v>
      </c>
      <c r="N162" s="98">
        <v>21329</v>
      </c>
      <c r="O162" s="98"/>
      <c r="P162" s="98"/>
      <c r="Q162" s="98"/>
      <c r="R162" s="98"/>
      <c r="S162" s="98"/>
      <c r="T162" s="98"/>
      <c r="U162" s="98"/>
      <c r="V162" s="98"/>
      <c r="W162" s="98"/>
      <c r="X162" s="98"/>
      <c r="Y162" s="98"/>
      <c r="Z162" s="98"/>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row>
    <row r="163" spans="1:52" ht="14.4" x14ac:dyDescent="0.3">
      <c r="A163" s="98">
        <v>120972</v>
      </c>
      <c r="B163" s="99" t="s">
        <v>160</v>
      </c>
      <c r="C163" s="98">
        <v>22301</v>
      </c>
      <c r="D163" s="99" t="s">
        <v>1089</v>
      </c>
      <c r="E163" s="99" t="s">
        <v>583</v>
      </c>
      <c r="F163" s="99">
        <v>9260</v>
      </c>
      <c r="G163" s="99" t="s">
        <v>1092</v>
      </c>
      <c r="H163" s="99" t="s">
        <v>1376</v>
      </c>
      <c r="I163" s="99" t="s">
        <v>415</v>
      </c>
      <c r="J163" s="99" t="s">
        <v>416</v>
      </c>
      <c r="K163" s="99" t="s">
        <v>1608</v>
      </c>
      <c r="L163" s="98">
        <v>22061</v>
      </c>
      <c r="M163" s="98">
        <v>22095</v>
      </c>
      <c r="N163" s="98">
        <v>22186</v>
      </c>
      <c r="O163" s="100">
        <v>22301</v>
      </c>
      <c r="P163" s="100">
        <v>22608</v>
      </c>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row>
    <row r="164" spans="1:52" ht="14.4" x14ac:dyDescent="0.3">
      <c r="A164" s="98">
        <v>120981</v>
      </c>
      <c r="B164" s="99" t="s">
        <v>318</v>
      </c>
      <c r="C164" s="98">
        <v>23523</v>
      </c>
      <c r="D164" s="99" t="s">
        <v>1636</v>
      </c>
      <c r="E164" s="99" t="s">
        <v>1106</v>
      </c>
      <c r="F164" s="99">
        <v>9400</v>
      </c>
      <c r="G164" s="99" t="s">
        <v>1107</v>
      </c>
      <c r="H164" s="99" t="s">
        <v>1377</v>
      </c>
      <c r="I164" s="99" t="s">
        <v>415</v>
      </c>
      <c r="J164" s="99" t="s">
        <v>416</v>
      </c>
      <c r="K164" s="99" t="s">
        <v>1608</v>
      </c>
      <c r="L164" s="98">
        <v>23218</v>
      </c>
      <c r="M164" s="98">
        <v>23226</v>
      </c>
      <c r="N164" s="98">
        <v>23523</v>
      </c>
      <c r="O164" s="98">
        <v>113589</v>
      </c>
      <c r="P164" s="98"/>
      <c r="Q164" s="98"/>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row>
    <row r="165" spans="1:52" ht="14.4" x14ac:dyDescent="0.3">
      <c r="A165" s="98">
        <v>120998</v>
      </c>
      <c r="B165" s="99" t="s">
        <v>319</v>
      </c>
      <c r="C165" s="98">
        <v>21717</v>
      </c>
      <c r="D165" s="99" t="s">
        <v>1075</v>
      </c>
      <c r="E165" s="99" t="s">
        <v>1077</v>
      </c>
      <c r="F165" s="99">
        <v>9160</v>
      </c>
      <c r="G165" s="99" t="s">
        <v>569</v>
      </c>
      <c r="H165" s="99" t="s">
        <v>1378</v>
      </c>
      <c r="I165" s="99" t="s">
        <v>485</v>
      </c>
      <c r="J165" s="99" t="s">
        <v>486</v>
      </c>
      <c r="K165" s="99" t="s">
        <v>487</v>
      </c>
      <c r="L165" s="98">
        <v>21543</v>
      </c>
      <c r="M165" s="98">
        <v>21642</v>
      </c>
      <c r="N165" s="98">
        <v>21667</v>
      </c>
      <c r="O165" s="98">
        <v>21675</v>
      </c>
      <c r="P165" s="100">
        <v>21683</v>
      </c>
      <c r="Q165" s="100">
        <v>21691</v>
      </c>
      <c r="R165" s="100">
        <v>21709</v>
      </c>
      <c r="S165" s="100">
        <v>21717</v>
      </c>
      <c r="T165" s="100">
        <v>21725</v>
      </c>
      <c r="U165" s="100">
        <v>21758</v>
      </c>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row>
    <row r="166" spans="1:52" ht="14.4" x14ac:dyDescent="0.3">
      <c r="A166" s="98">
        <v>121004</v>
      </c>
      <c r="B166" s="99" t="s">
        <v>320</v>
      </c>
      <c r="C166" s="98">
        <v>24117</v>
      </c>
      <c r="D166" s="99" t="s">
        <v>1119</v>
      </c>
      <c r="E166" s="99" t="s">
        <v>1120</v>
      </c>
      <c r="F166" s="99">
        <v>9681</v>
      </c>
      <c r="G166" s="99" t="s">
        <v>1121</v>
      </c>
      <c r="H166" s="99" t="s">
        <v>1379</v>
      </c>
      <c r="I166" s="99" t="s">
        <v>1617</v>
      </c>
      <c r="J166" s="99" t="s">
        <v>1618</v>
      </c>
      <c r="K166" s="99" t="s">
        <v>1619</v>
      </c>
      <c r="L166" s="98">
        <v>24117</v>
      </c>
      <c r="M166" s="98">
        <v>24158</v>
      </c>
      <c r="N166" s="98">
        <v>24166</v>
      </c>
      <c r="O166" s="98">
        <v>24497</v>
      </c>
      <c r="P166" s="98">
        <v>24505</v>
      </c>
      <c r="Q166" s="98">
        <v>129502</v>
      </c>
      <c r="R166" s="98">
        <v>137471</v>
      </c>
      <c r="S166" s="98"/>
      <c r="T166" s="98"/>
      <c r="U166" s="98"/>
      <c r="V166" s="98"/>
      <c r="W166" s="98"/>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row>
    <row r="167" spans="1:52" ht="14.4" x14ac:dyDescent="0.3">
      <c r="A167" s="98">
        <v>121012</v>
      </c>
      <c r="B167" s="99" t="s">
        <v>321</v>
      </c>
      <c r="C167" s="98">
        <v>299</v>
      </c>
      <c r="D167" s="99" t="s">
        <v>1565</v>
      </c>
      <c r="E167" s="99" t="s">
        <v>436</v>
      </c>
      <c r="F167" s="99">
        <v>1770</v>
      </c>
      <c r="G167" s="99" t="s">
        <v>437</v>
      </c>
      <c r="H167" s="99" t="s">
        <v>1380</v>
      </c>
      <c r="I167" s="99" t="s">
        <v>415</v>
      </c>
      <c r="J167" s="99" t="s">
        <v>416</v>
      </c>
      <c r="K167" s="99" t="s">
        <v>1608</v>
      </c>
      <c r="L167" s="98">
        <v>299</v>
      </c>
      <c r="M167" s="98">
        <v>2857</v>
      </c>
      <c r="N167" s="98">
        <v>2865</v>
      </c>
      <c r="O167" s="98">
        <v>2873</v>
      </c>
      <c r="P167" s="98">
        <v>2881</v>
      </c>
      <c r="Q167" s="98">
        <v>2907</v>
      </c>
      <c r="R167" s="98">
        <v>2964</v>
      </c>
      <c r="S167" s="100">
        <v>2972</v>
      </c>
      <c r="T167" s="100">
        <v>2981</v>
      </c>
      <c r="U167" s="100">
        <v>3004</v>
      </c>
      <c r="V167" s="100">
        <v>3012</v>
      </c>
      <c r="W167" s="100">
        <v>3021</v>
      </c>
      <c r="X167" s="100">
        <v>3038</v>
      </c>
      <c r="Y167" s="100">
        <v>5371</v>
      </c>
      <c r="Z167" s="100">
        <v>23382</v>
      </c>
      <c r="AA167" s="100">
        <v>102533</v>
      </c>
      <c r="AB167" s="100">
        <v>113613</v>
      </c>
      <c r="AC167" s="100">
        <v>132258</v>
      </c>
      <c r="AD167" s="100">
        <v>137554</v>
      </c>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row>
    <row r="168" spans="1:52" ht="14.4" x14ac:dyDescent="0.3">
      <c r="A168" s="98">
        <v>121038</v>
      </c>
      <c r="B168" s="99" t="s">
        <v>161</v>
      </c>
      <c r="C168" s="98">
        <v>61267</v>
      </c>
      <c r="D168" s="99" t="s">
        <v>1105</v>
      </c>
      <c r="E168" s="99" t="s">
        <v>1167</v>
      </c>
      <c r="F168" s="99">
        <v>9470</v>
      </c>
      <c r="G168" s="99" t="s">
        <v>581</v>
      </c>
      <c r="H168" s="99" t="s">
        <v>1381</v>
      </c>
      <c r="I168" s="99" t="s">
        <v>415</v>
      </c>
      <c r="J168" s="99" t="s">
        <v>416</v>
      </c>
      <c r="K168" s="99" t="s">
        <v>1608</v>
      </c>
      <c r="L168" s="98">
        <v>23457</v>
      </c>
      <c r="M168" s="98">
        <v>23481</v>
      </c>
      <c r="N168" s="98">
        <v>46086</v>
      </c>
      <c r="O168" s="98">
        <v>61267</v>
      </c>
      <c r="P168" s="98"/>
      <c r="Q168" s="98"/>
      <c r="R168" s="98"/>
      <c r="S168" s="98"/>
      <c r="T168" s="98"/>
      <c r="U168" s="98"/>
      <c r="V168" s="98"/>
      <c r="W168" s="98"/>
      <c r="X168" s="98"/>
      <c r="Y168" s="98"/>
      <c r="Z168" s="98"/>
      <c r="AA168" s="98"/>
      <c r="AB168" s="98"/>
      <c r="AC168" s="98"/>
      <c r="AD168" s="98"/>
      <c r="AE168" s="98"/>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row>
    <row r="169" spans="1:52" ht="14.4" x14ac:dyDescent="0.3">
      <c r="A169" s="98">
        <v>121046</v>
      </c>
      <c r="B169" s="99" t="s">
        <v>322</v>
      </c>
      <c r="C169" s="98">
        <v>116053</v>
      </c>
      <c r="D169" s="99" t="s">
        <v>1122</v>
      </c>
      <c r="E169" s="99" t="s">
        <v>1123</v>
      </c>
      <c r="F169" s="99">
        <v>9700</v>
      </c>
      <c r="G169" s="99" t="s">
        <v>588</v>
      </c>
      <c r="H169" s="99" t="s">
        <v>1382</v>
      </c>
      <c r="I169" s="99" t="s">
        <v>1617</v>
      </c>
      <c r="J169" s="99" t="s">
        <v>1618</v>
      </c>
      <c r="K169" s="99" t="s">
        <v>1619</v>
      </c>
      <c r="L169" s="98">
        <v>24174</v>
      </c>
      <c r="M169" s="98">
        <v>24182</v>
      </c>
      <c r="N169" s="98">
        <v>24191</v>
      </c>
      <c r="O169" s="98">
        <v>24208</v>
      </c>
      <c r="P169" s="100">
        <v>24216</v>
      </c>
      <c r="Q169" s="100">
        <v>24224</v>
      </c>
      <c r="R169" s="100">
        <v>24232</v>
      </c>
      <c r="S169" s="100">
        <v>24241</v>
      </c>
      <c r="T169" s="100">
        <v>24257</v>
      </c>
      <c r="U169" s="100">
        <v>116021</v>
      </c>
      <c r="V169" s="100">
        <v>116038</v>
      </c>
      <c r="W169" s="100">
        <v>116046</v>
      </c>
      <c r="X169" s="100">
        <v>116053</v>
      </c>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row>
    <row r="170" spans="1:52" ht="14.4" x14ac:dyDescent="0.3">
      <c r="A170" s="98">
        <v>121053</v>
      </c>
      <c r="B170" s="99" t="s">
        <v>162</v>
      </c>
      <c r="C170" s="98">
        <v>21766</v>
      </c>
      <c r="D170" s="99" t="s">
        <v>1078</v>
      </c>
      <c r="E170" s="99" t="s">
        <v>1079</v>
      </c>
      <c r="F170" s="99">
        <v>9040</v>
      </c>
      <c r="G170" s="99" t="s">
        <v>570</v>
      </c>
      <c r="H170" s="99" t="s">
        <v>1383</v>
      </c>
      <c r="I170" s="99" t="s">
        <v>415</v>
      </c>
      <c r="J170" s="99" t="s">
        <v>416</v>
      </c>
      <c r="K170" s="99" t="s">
        <v>1608</v>
      </c>
      <c r="L170" s="98">
        <v>21766</v>
      </c>
      <c r="M170" s="98">
        <v>21782</v>
      </c>
      <c r="N170" s="98">
        <v>21791</v>
      </c>
      <c r="O170" s="98">
        <v>22509</v>
      </c>
      <c r="P170" s="98">
        <v>24893</v>
      </c>
      <c r="Q170" s="98">
        <v>104315</v>
      </c>
      <c r="R170" s="98">
        <v>107649</v>
      </c>
      <c r="S170" s="98"/>
      <c r="T170" s="98"/>
      <c r="U170" s="98"/>
      <c r="V170" s="98"/>
      <c r="W170" s="98"/>
      <c r="X170" s="98"/>
      <c r="Y170" s="98"/>
      <c r="Z170" s="98"/>
      <c r="AA170" s="98"/>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row>
    <row r="171" spans="1:52" ht="14.4" x14ac:dyDescent="0.3">
      <c r="A171" s="98">
        <v>121061</v>
      </c>
      <c r="B171" s="99" t="s">
        <v>323</v>
      </c>
      <c r="C171" s="98">
        <v>3152</v>
      </c>
      <c r="D171" s="99" t="s">
        <v>553</v>
      </c>
      <c r="E171" s="99" t="s">
        <v>587</v>
      </c>
      <c r="F171" s="99">
        <v>9700</v>
      </c>
      <c r="G171" s="99" t="s">
        <v>588</v>
      </c>
      <c r="H171" s="99" t="s">
        <v>1384</v>
      </c>
      <c r="I171" s="99" t="s">
        <v>1617</v>
      </c>
      <c r="J171" s="99" t="s">
        <v>1618</v>
      </c>
      <c r="K171" s="99" t="s">
        <v>1619</v>
      </c>
      <c r="L171" s="98">
        <v>2361</v>
      </c>
      <c r="M171" s="98">
        <v>3095</v>
      </c>
      <c r="N171" s="98">
        <v>3145</v>
      </c>
      <c r="O171" s="98">
        <v>3152</v>
      </c>
      <c r="P171" s="98">
        <v>19001</v>
      </c>
      <c r="Q171" s="98">
        <v>102566</v>
      </c>
      <c r="R171" s="98"/>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row>
    <row r="172" spans="1:52" ht="14.4" x14ac:dyDescent="0.3">
      <c r="A172" s="98">
        <v>121111</v>
      </c>
      <c r="B172" s="99" t="s">
        <v>163</v>
      </c>
      <c r="C172" s="98">
        <v>18762</v>
      </c>
      <c r="D172" s="99" t="s">
        <v>1612</v>
      </c>
      <c r="E172" s="99" t="s">
        <v>455</v>
      </c>
      <c r="F172" s="99">
        <v>8510</v>
      </c>
      <c r="G172" s="99" t="s">
        <v>549</v>
      </c>
      <c r="H172" s="99" t="s">
        <v>1385</v>
      </c>
      <c r="I172" s="99" t="s">
        <v>1617</v>
      </c>
      <c r="J172" s="99" t="s">
        <v>1618</v>
      </c>
      <c r="K172" s="99" t="s">
        <v>1619</v>
      </c>
      <c r="L172" s="98">
        <v>18762</v>
      </c>
      <c r="M172" s="98">
        <v>18838</v>
      </c>
      <c r="N172" s="98">
        <v>106187</v>
      </c>
      <c r="O172" s="98"/>
      <c r="P172" s="98"/>
      <c r="Q172" s="98"/>
      <c r="R172" s="98"/>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row>
    <row r="173" spans="1:52" ht="14.4" x14ac:dyDescent="0.3">
      <c r="A173" s="98">
        <v>121129</v>
      </c>
      <c r="B173" s="99" t="s">
        <v>164</v>
      </c>
      <c r="C173" s="98">
        <v>105379</v>
      </c>
      <c r="D173" s="99" t="s">
        <v>1566</v>
      </c>
      <c r="E173" s="99" t="s">
        <v>1174</v>
      </c>
      <c r="F173" s="99">
        <v>9600</v>
      </c>
      <c r="G173" s="99" t="s">
        <v>584</v>
      </c>
      <c r="H173" s="99" t="s">
        <v>1386</v>
      </c>
      <c r="I173" s="99" t="s">
        <v>1617</v>
      </c>
      <c r="J173" s="99" t="s">
        <v>1618</v>
      </c>
      <c r="K173" s="99" t="s">
        <v>1619</v>
      </c>
      <c r="L173" s="98">
        <v>23846</v>
      </c>
      <c r="M173" s="98">
        <v>23853</v>
      </c>
      <c r="N173" s="98">
        <v>23861</v>
      </c>
      <c r="O173" s="98">
        <v>105379</v>
      </c>
      <c r="P173" s="98">
        <v>115824</v>
      </c>
      <c r="Q173" s="98">
        <v>115832</v>
      </c>
      <c r="R173" s="100">
        <v>115841</v>
      </c>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row>
    <row r="174" spans="1:52" ht="14.4" x14ac:dyDescent="0.3">
      <c r="A174" s="98">
        <v>121137</v>
      </c>
      <c r="B174" s="99" t="s">
        <v>324</v>
      </c>
      <c r="C174" s="98">
        <v>124008</v>
      </c>
      <c r="D174" s="99" t="s">
        <v>845</v>
      </c>
      <c r="E174" s="99" t="s">
        <v>1209</v>
      </c>
      <c r="F174" s="99">
        <v>9120</v>
      </c>
      <c r="G174" s="99" t="s">
        <v>854</v>
      </c>
      <c r="H174" s="99" t="s">
        <v>1387</v>
      </c>
      <c r="I174" s="99" t="s">
        <v>485</v>
      </c>
      <c r="J174" s="99" t="s">
        <v>486</v>
      </c>
      <c r="K174" s="99" t="s">
        <v>487</v>
      </c>
      <c r="L174" s="98">
        <v>11296</v>
      </c>
      <c r="M174" s="98">
        <v>11312</v>
      </c>
      <c r="N174" s="98">
        <v>11379</v>
      </c>
      <c r="O174" s="98">
        <v>11502</v>
      </c>
      <c r="P174" s="98">
        <v>11528</v>
      </c>
      <c r="Q174" s="98">
        <v>105445</v>
      </c>
      <c r="R174" s="98">
        <v>124008</v>
      </c>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row>
    <row r="175" spans="1:52" ht="14.4" x14ac:dyDescent="0.3">
      <c r="A175" s="98">
        <v>121152</v>
      </c>
      <c r="B175" s="99" t="s">
        <v>165</v>
      </c>
      <c r="C175" s="98">
        <v>115915</v>
      </c>
      <c r="D175" s="99" t="s">
        <v>1135</v>
      </c>
      <c r="E175" s="99" t="s">
        <v>1183</v>
      </c>
      <c r="F175" s="99">
        <v>9900</v>
      </c>
      <c r="G175" s="99" t="s">
        <v>594</v>
      </c>
      <c r="H175" s="99" t="s">
        <v>1567</v>
      </c>
      <c r="I175" s="99" t="s">
        <v>415</v>
      </c>
      <c r="J175" s="99" t="s">
        <v>416</v>
      </c>
      <c r="K175" s="99" t="s">
        <v>1608</v>
      </c>
      <c r="L175" s="98">
        <v>24802</v>
      </c>
      <c r="M175" s="98">
        <v>24811</v>
      </c>
      <c r="N175" s="98">
        <v>24836</v>
      </c>
      <c r="O175" s="98">
        <v>110064</v>
      </c>
      <c r="P175" s="98">
        <v>115915</v>
      </c>
      <c r="Q175" s="98">
        <v>115923</v>
      </c>
      <c r="R175" s="98"/>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row>
    <row r="176" spans="1:52" ht="14.4" x14ac:dyDescent="0.3">
      <c r="A176" s="98">
        <v>121161</v>
      </c>
      <c r="B176" s="99" t="s">
        <v>325</v>
      </c>
      <c r="C176" s="98">
        <v>22194</v>
      </c>
      <c r="D176" s="99" t="s">
        <v>633</v>
      </c>
      <c r="E176" s="99" t="s">
        <v>1090</v>
      </c>
      <c r="F176" s="99">
        <v>9230</v>
      </c>
      <c r="G176" s="99" t="s">
        <v>573</v>
      </c>
      <c r="H176" s="99" t="s">
        <v>1388</v>
      </c>
      <c r="I176" s="99" t="s">
        <v>485</v>
      </c>
      <c r="J176" s="99" t="s">
        <v>486</v>
      </c>
      <c r="K176" s="99" t="s">
        <v>487</v>
      </c>
      <c r="L176" s="98">
        <v>22194</v>
      </c>
      <c r="M176" s="98">
        <v>22285</v>
      </c>
      <c r="N176" s="98">
        <v>22293</v>
      </c>
      <c r="O176" s="98">
        <v>22699</v>
      </c>
      <c r="P176" s="98">
        <v>106005</v>
      </c>
      <c r="Q176" s="98">
        <v>107813</v>
      </c>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row>
    <row r="177" spans="1:52" ht="14.4" x14ac:dyDescent="0.3">
      <c r="A177" s="98">
        <v>121186</v>
      </c>
      <c r="B177" s="99" t="s">
        <v>326</v>
      </c>
      <c r="C177" s="98">
        <v>11361</v>
      </c>
      <c r="D177" s="99" t="s">
        <v>924</v>
      </c>
      <c r="E177" s="99" t="s">
        <v>846</v>
      </c>
      <c r="F177" s="99">
        <v>9120</v>
      </c>
      <c r="G177" s="99" t="s">
        <v>847</v>
      </c>
      <c r="H177" s="99" t="s">
        <v>1389</v>
      </c>
      <c r="I177" s="99" t="s">
        <v>485</v>
      </c>
      <c r="J177" s="99" t="s">
        <v>486</v>
      </c>
      <c r="K177" s="99" t="s">
        <v>487</v>
      </c>
      <c r="L177" s="98">
        <v>11321</v>
      </c>
      <c r="M177" s="98">
        <v>11338</v>
      </c>
      <c r="N177" s="98">
        <v>11346</v>
      </c>
      <c r="O177" s="98">
        <v>11353</v>
      </c>
      <c r="P177" s="98">
        <v>11361</v>
      </c>
      <c r="Q177" s="98">
        <v>11494</v>
      </c>
      <c r="R177" s="98"/>
      <c r="S177" s="98"/>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row>
    <row r="178" spans="1:52" ht="14.4" x14ac:dyDescent="0.3">
      <c r="A178" s="98">
        <v>121194</v>
      </c>
      <c r="B178" s="99" t="s">
        <v>251</v>
      </c>
      <c r="C178" s="98">
        <v>45237</v>
      </c>
      <c r="D178" s="99" t="s">
        <v>1637</v>
      </c>
      <c r="E178" s="99" t="s">
        <v>1153</v>
      </c>
      <c r="F178" s="99">
        <v>9340</v>
      </c>
      <c r="G178" s="99" t="s">
        <v>1154</v>
      </c>
      <c r="H178" s="99" t="s">
        <v>1638</v>
      </c>
      <c r="I178" s="99" t="s">
        <v>415</v>
      </c>
      <c r="J178" s="99" t="s">
        <v>416</v>
      </c>
      <c r="K178" s="99" t="s">
        <v>1608</v>
      </c>
      <c r="L178" s="98">
        <v>22566</v>
      </c>
      <c r="M178" s="98">
        <v>22582</v>
      </c>
      <c r="N178" s="98">
        <v>22921</v>
      </c>
      <c r="O178" s="98">
        <v>45237</v>
      </c>
      <c r="P178" s="98">
        <v>112871</v>
      </c>
      <c r="Q178" s="98"/>
      <c r="R178" s="98"/>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row>
    <row r="179" spans="1:52" ht="14.4" x14ac:dyDescent="0.3">
      <c r="A179" s="98">
        <v>121228</v>
      </c>
      <c r="B179" s="99" t="s">
        <v>166</v>
      </c>
      <c r="C179" s="98">
        <v>10595</v>
      </c>
      <c r="D179" s="99" t="s">
        <v>828</v>
      </c>
      <c r="E179" s="99" t="s">
        <v>829</v>
      </c>
      <c r="F179" s="99">
        <v>9140</v>
      </c>
      <c r="G179" s="99" t="s">
        <v>830</v>
      </c>
      <c r="H179" s="99" t="s">
        <v>1390</v>
      </c>
      <c r="I179" s="99" t="s">
        <v>485</v>
      </c>
      <c r="J179" s="99" t="s">
        <v>486</v>
      </c>
      <c r="K179" s="99" t="s">
        <v>487</v>
      </c>
      <c r="L179" s="98">
        <v>10595</v>
      </c>
      <c r="M179" s="98">
        <v>10934</v>
      </c>
      <c r="N179" s="98">
        <v>10942</v>
      </c>
      <c r="O179" s="98">
        <v>10959</v>
      </c>
      <c r="P179" s="98">
        <v>10967</v>
      </c>
      <c r="Q179" s="100">
        <v>22079</v>
      </c>
      <c r="R179" s="100">
        <v>107862</v>
      </c>
      <c r="S179" s="100">
        <v>112979</v>
      </c>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row>
    <row r="180" spans="1:52" ht="14.4" x14ac:dyDescent="0.3">
      <c r="A180" s="98">
        <v>121236</v>
      </c>
      <c r="B180" s="99" t="s">
        <v>167</v>
      </c>
      <c r="C180" s="98">
        <v>25148</v>
      </c>
      <c r="D180" s="99" t="s">
        <v>639</v>
      </c>
      <c r="E180" s="99" t="s">
        <v>1141</v>
      </c>
      <c r="F180" s="99">
        <v>9980</v>
      </c>
      <c r="G180" s="99" t="s">
        <v>1140</v>
      </c>
      <c r="H180" s="99" t="s">
        <v>1391</v>
      </c>
      <c r="I180" s="99" t="s">
        <v>415</v>
      </c>
      <c r="J180" s="99" t="s">
        <v>416</v>
      </c>
      <c r="K180" s="99" t="s">
        <v>1608</v>
      </c>
      <c r="L180" s="98">
        <v>21386</v>
      </c>
      <c r="M180" s="98">
        <v>24901</v>
      </c>
      <c r="N180" s="98">
        <v>25081</v>
      </c>
      <c r="O180" s="98">
        <v>25148</v>
      </c>
      <c r="P180" s="98"/>
      <c r="Q180" s="98"/>
      <c r="R180" s="98"/>
      <c r="S180" s="98"/>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row>
    <row r="181" spans="1:52" ht="14.4" x14ac:dyDescent="0.3">
      <c r="A181" s="98">
        <v>121251</v>
      </c>
      <c r="B181" s="99" t="s">
        <v>168</v>
      </c>
      <c r="C181" s="98">
        <v>2758</v>
      </c>
      <c r="D181" s="99" t="s">
        <v>1568</v>
      </c>
      <c r="E181" s="99" t="s">
        <v>571</v>
      </c>
      <c r="F181" s="99">
        <v>9220</v>
      </c>
      <c r="G181" s="99" t="s">
        <v>572</v>
      </c>
      <c r="H181" s="99" t="s">
        <v>1392</v>
      </c>
      <c r="I181" s="99" t="s">
        <v>415</v>
      </c>
      <c r="J181" s="99" t="s">
        <v>416</v>
      </c>
      <c r="K181" s="99" t="s">
        <v>1608</v>
      </c>
      <c r="L181" s="98">
        <v>2691</v>
      </c>
      <c r="M181" s="98">
        <v>2709</v>
      </c>
      <c r="N181" s="98">
        <v>2741</v>
      </c>
      <c r="O181" s="98">
        <v>2758</v>
      </c>
      <c r="P181" s="98">
        <v>2774</v>
      </c>
      <c r="Q181" s="98">
        <v>2824</v>
      </c>
      <c r="R181" s="100">
        <v>2841</v>
      </c>
      <c r="S181" s="100">
        <v>2923</v>
      </c>
      <c r="T181" s="100">
        <v>2931</v>
      </c>
      <c r="U181" s="100">
        <v>2949</v>
      </c>
      <c r="V181" s="100">
        <v>2956</v>
      </c>
      <c r="W181" s="100">
        <v>130096</v>
      </c>
      <c r="X181" s="100">
        <v>131458</v>
      </c>
      <c r="Y181" s="100">
        <v>137604</v>
      </c>
      <c r="Z181" s="100">
        <v>138511</v>
      </c>
      <c r="AA181" s="100">
        <v>138594</v>
      </c>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row>
    <row r="182" spans="1:52" ht="14.4" x14ac:dyDescent="0.3">
      <c r="A182" s="98">
        <v>121269</v>
      </c>
      <c r="B182" s="99" t="s">
        <v>169</v>
      </c>
      <c r="C182" s="98">
        <v>24331</v>
      </c>
      <c r="D182" s="99" t="s">
        <v>1125</v>
      </c>
      <c r="E182" s="99" t="s">
        <v>1126</v>
      </c>
      <c r="F182" s="99">
        <v>9890</v>
      </c>
      <c r="G182" s="99" t="s">
        <v>1127</v>
      </c>
      <c r="H182" s="99" t="s">
        <v>1393</v>
      </c>
      <c r="I182" s="99" t="s">
        <v>415</v>
      </c>
      <c r="J182" s="99" t="s">
        <v>416</v>
      </c>
      <c r="K182" s="99" t="s">
        <v>1608</v>
      </c>
      <c r="L182" s="98">
        <v>24331</v>
      </c>
      <c r="M182" s="98">
        <v>24356</v>
      </c>
      <c r="N182" s="98">
        <v>24364</v>
      </c>
      <c r="O182" s="98">
        <v>24381</v>
      </c>
      <c r="P182" s="98">
        <v>24406</v>
      </c>
      <c r="Q182" s="98">
        <v>24414</v>
      </c>
      <c r="R182" s="98">
        <v>24455</v>
      </c>
      <c r="S182" s="98">
        <v>24463</v>
      </c>
      <c r="T182" s="98">
        <v>115766</v>
      </c>
      <c r="U182" s="98"/>
      <c r="V182" s="98"/>
      <c r="W182" s="98"/>
      <c r="X182" s="98"/>
      <c r="Y182" s="98"/>
      <c r="Z182" s="98"/>
      <c r="AA182" s="98"/>
      <c r="AB182" s="98"/>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row>
    <row r="183" spans="1:52" ht="14.4" x14ac:dyDescent="0.3">
      <c r="A183" s="98">
        <v>121277</v>
      </c>
      <c r="B183" s="99" t="s">
        <v>327</v>
      </c>
      <c r="C183" s="98">
        <v>22244</v>
      </c>
      <c r="D183" s="99" t="s">
        <v>856</v>
      </c>
      <c r="E183" s="99" t="s">
        <v>1091</v>
      </c>
      <c r="F183" s="99">
        <v>9230</v>
      </c>
      <c r="G183" s="99" t="s">
        <v>573</v>
      </c>
      <c r="H183" s="99" t="s">
        <v>1394</v>
      </c>
      <c r="I183" s="99" t="s">
        <v>485</v>
      </c>
      <c r="J183" s="99" t="s">
        <v>486</v>
      </c>
      <c r="K183" s="99" t="s">
        <v>487</v>
      </c>
      <c r="L183" s="98">
        <v>22236</v>
      </c>
      <c r="M183" s="98">
        <v>22244</v>
      </c>
      <c r="N183" s="98">
        <v>22251</v>
      </c>
      <c r="O183" s="98">
        <v>22525</v>
      </c>
      <c r="P183" s="98">
        <v>22541</v>
      </c>
      <c r="Q183" s="98">
        <v>22558</v>
      </c>
      <c r="R183" s="98">
        <v>22616</v>
      </c>
      <c r="S183" s="98">
        <v>22632</v>
      </c>
      <c r="T183" s="98">
        <v>22657</v>
      </c>
      <c r="U183" s="100">
        <v>23622</v>
      </c>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row>
    <row r="184" spans="1:52" ht="14.4" x14ac:dyDescent="0.3">
      <c r="A184" s="98">
        <v>121285</v>
      </c>
      <c r="B184" s="99" t="s">
        <v>328</v>
      </c>
      <c r="C184" s="98">
        <v>48744</v>
      </c>
      <c r="D184" s="99" t="s">
        <v>1088</v>
      </c>
      <c r="E184" s="99" t="s">
        <v>1163</v>
      </c>
      <c r="F184" s="99">
        <v>9220</v>
      </c>
      <c r="G184" s="99" t="s">
        <v>572</v>
      </c>
      <c r="H184" s="99" t="s">
        <v>1395</v>
      </c>
      <c r="I184" s="99" t="s">
        <v>415</v>
      </c>
      <c r="J184" s="99" t="s">
        <v>416</v>
      </c>
      <c r="K184" s="99" t="s">
        <v>1608</v>
      </c>
      <c r="L184" s="98">
        <v>22012</v>
      </c>
      <c r="M184" s="98">
        <v>22021</v>
      </c>
      <c r="N184" s="98">
        <v>22038</v>
      </c>
      <c r="O184" s="98">
        <v>22046</v>
      </c>
      <c r="P184" s="98">
        <v>22087</v>
      </c>
      <c r="Q184" s="98">
        <v>48744</v>
      </c>
      <c r="R184" s="98"/>
      <c r="S184" s="98"/>
      <c r="T184" s="98"/>
      <c r="U184" s="98"/>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row>
    <row r="185" spans="1:52" ht="14.4" x14ac:dyDescent="0.3">
      <c r="A185" s="98">
        <v>121301</v>
      </c>
      <c r="B185" s="99" t="s">
        <v>170</v>
      </c>
      <c r="C185" s="98">
        <v>3269</v>
      </c>
      <c r="D185" s="99" t="s">
        <v>567</v>
      </c>
      <c r="E185" s="99" t="s">
        <v>593</v>
      </c>
      <c r="F185" s="99">
        <v>9900</v>
      </c>
      <c r="G185" s="99" t="s">
        <v>594</v>
      </c>
      <c r="H185" s="99" t="s">
        <v>1396</v>
      </c>
      <c r="I185" s="99" t="s">
        <v>415</v>
      </c>
      <c r="J185" s="99" t="s">
        <v>416</v>
      </c>
      <c r="K185" s="99" t="s">
        <v>1608</v>
      </c>
      <c r="L185" s="98">
        <v>2659</v>
      </c>
      <c r="M185" s="98">
        <v>2667</v>
      </c>
      <c r="N185" s="98">
        <v>2675</v>
      </c>
      <c r="O185" s="98">
        <v>3251</v>
      </c>
      <c r="P185" s="98">
        <v>3269</v>
      </c>
      <c r="Q185" s="98">
        <v>3285</v>
      </c>
      <c r="R185" s="100">
        <v>3293</v>
      </c>
      <c r="S185" s="100">
        <v>25239</v>
      </c>
      <c r="T185" s="100">
        <v>112953</v>
      </c>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row>
    <row r="186" spans="1:52" ht="14.4" x14ac:dyDescent="0.3">
      <c r="A186" s="98">
        <v>121319</v>
      </c>
      <c r="B186" s="99" t="s">
        <v>171</v>
      </c>
      <c r="C186" s="98">
        <v>22434</v>
      </c>
      <c r="D186" s="99" t="s">
        <v>1083</v>
      </c>
      <c r="E186" s="99" t="s">
        <v>1093</v>
      </c>
      <c r="F186" s="99">
        <v>9820</v>
      </c>
      <c r="G186" s="99" t="s">
        <v>575</v>
      </c>
      <c r="H186" s="99" t="s">
        <v>1397</v>
      </c>
      <c r="I186" s="99" t="s">
        <v>415</v>
      </c>
      <c r="J186" s="99" t="s">
        <v>416</v>
      </c>
      <c r="K186" s="99" t="s">
        <v>1608</v>
      </c>
      <c r="L186" s="98">
        <v>22384</v>
      </c>
      <c r="M186" s="98">
        <v>22418</v>
      </c>
      <c r="N186" s="98">
        <v>22426</v>
      </c>
      <c r="O186" s="98">
        <v>22434</v>
      </c>
      <c r="P186" s="98">
        <v>22517</v>
      </c>
      <c r="Q186" s="98"/>
      <c r="R186" s="98"/>
      <c r="S186" s="98"/>
      <c r="T186" s="98"/>
      <c r="U186" s="98"/>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row>
    <row r="187" spans="1:52" ht="14.4" x14ac:dyDescent="0.3">
      <c r="A187" s="98">
        <v>121327</v>
      </c>
      <c r="B187" s="99" t="s">
        <v>329</v>
      </c>
      <c r="C187" s="98">
        <v>3111</v>
      </c>
      <c r="D187" s="99" t="s">
        <v>1569</v>
      </c>
      <c r="E187" s="99" t="s">
        <v>586</v>
      </c>
      <c r="F187" s="99">
        <v>9620</v>
      </c>
      <c r="G187" s="99" t="s">
        <v>585</v>
      </c>
      <c r="H187" s="99" t="s">
        <v>1398</v>
      </c>
      <c r="I187" s="99" t="s">
        <v>415</v>
      </c>
      <c r="J187" s="99" t="s">
        <v>416</v>
      </c>
      <c r="K187" s="99" t="s">
        <v>1608</v>
      </c>
      <c r="L187" s="98">
        <v>3046</v>
      </c>
      <c r="M187" s="98">
        <v>3053</v>
      </c>
      <c r="N187" s="98">
        <v>3061</v>
      </c>
      <c r="O187" s="98">
        <v>3079</v>
      </c>
      <c r="P187" s="98">
        <v>3087</v>
      </c>
      <c r="Q187" s="100">
        <v>3103</v>
      </c>
      <c r="R187" s="100">
        <v>3111</v>
      </c>
      <c r="S187" s="100">
        <v>3129</v>
      </c>
      <c r="T187" s="100">
        <v>3137</v>
      </c>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row>
    <row r="188" spans="1:52" ht="14.4" x14ac:dyDescent="0.3">
      <c r="A188" s="98">
        <v>121335</v>
      </c>
      <c r="B188" s="99" t="s">
        <v>226</v>
      </c>
      <c r="C188" s="98">
        <v>23093</v>
      </c>
      <c r="D188" s="99" t="s">
        <v>1101</v>
      </c>
      <c r="E188" s="99" t="s">
        <v>1102</v>
      </c>
      <c r="F188" s="99">
        <v>9280</v>
      </c>
      <c r="G188" s="99" t="s">
        <v>578</v>
      </c>
      <c r="H188" s="99" t="s">
        <v>1399</v>
      </c>
      <c r="I188" s="99" t="s">
        <v>415</v>
      </c>
      <c r="J188" s="99" t="s">
        <v>416</v>
      </c>
      <c r="K188" s="99" t="s">
        <v>1608</v>
      </c>
      <c r="L188" s="98">
        <v>23028</v>
      </c>
      <c r="M188" s="98">
        <v>23036</v>
      </c>
      <c r="N188" s="98">
        <v>23044</v>
      </c>
      <c r="O188" s="98">
        <v>23077</v>
      </c>
      <c r="P188" s="98">
        <v>23085</v>
      </c>
      <c r="Q188" s="98">
        <v>23093</v>
      </c>
      <c r="R188" s="98">
        <v>23119</v>
      </c>
      <c r="S188" s="98">
        <v>107821</v>
      </c>
      <c r="T188" s="98">
        <v>128496</v>
      </c>
      <c r="U188" s="98">
        <v>128652</v>
      </c>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row>
    <row r="189" spans="1:52" ht="14.4" x14ac:dyDescent="0.3">
      <c r="A189" s="98">
        <v>121343</v>
      </c>
      <c r="B189" s="99" t="s">
        <v>330</v>
      </c>
      <c r="C189" s="98">
        <v>23242</v>
      </c>
      <c r="D189" s="99" t="s">
        <v>1639</v>
      </c>
      <c r="E189" s="99" t="s">
        <v>1103</v>
      </c>
      <c r="F189" s="99">
        <v>9400</v>
      </c>
      <c r="G189" s="99" t="s">
        <v>579</v>
      </c>
      <c r="H189" s="99" t="s">
        <v>1400</v>
      </c>
      <c r="I189" s="99" t="s">
        <v>415</v>
      </c>
      <c r="J189" s="99" t="s">
        <v>416</v>
      </c>
      <c r="K189" s="99" t="s">
        <v>1608</v>
      </c>
      <c r="L189" s="98">
        <v>23242</v>
      </c>
      <c r="M189" s="98">
        <v>23259</v>
      </c>
      <c r="N189" s="98">
        <v>23267</v>
      </c>
      <c r="O189" s="98">
        <v>23283</v>
      </c>
      <c r="P189" s="98">
        <v>46193</v>
      </c>
      <c r="Q189" s="98"/>
      <c r="R189" s="98"/>
      <c r="S189" s="98"/>
      <c r="T189" s="98"/>
      <c r="U189" s="98"/>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row>
    <row r="190" spans="1:52" ht="14.4" x14ac:dyDescent="0.3">
      <c r="A190" s="98">
        <v>121368</v>
      </c>
      <c r="B190" s="99" t="s">
        <v>331</v>
      </c>
      <c r="C190" s="98">
        <v>107995</v>
      </c>
      <c r="D190" s="99" t="s">
        <v>1005</v>
      </c>
      <c r="E190" s="99" t="s">
        <v>1181</v>
      </c>
      <c r="F190" s="99">
        <v>9300</v>
      </c>
      <c r="G190" s="99" t="s">
        <v>576</v>
      </c>
      <c r="H190" s="99" t="s">
        <v>1401</v>
      </c>
      <c r="I190" s="99" t="s">
        <v>415</v>
      </c>
      <c r="J190" s="99" t="s">
        <v>416</v>
      </c>
      <c r="K190" s="99" t="s">
        <v>1608</v>
      </c>
      <c r="L190" s="98">
        <v>22715</v>
      </c>
      <c r="M190" s="98">
        <v>22723</v>
      </c>
      <c r="N190" s="98">
        <v>22798</v>
      </c>
      <c r="O190" s="98">
        <v>22806</v>
      </c>
      <c r="P190" s="98">
        <v>23416</v>
      </c>
      <c r="Q190" s="98">
        <v>105817</v>
      </c>
      <c r="R190" s="100">
        <v>107995</v>
      </c>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row>
    <row r="191" spans="1:52" ht="14.4" x14ac:dyDescent="0.3">
      <c r="A191" s="98">
        <v>121376</v>
      </c>
      <c r="B191" s="99" t="s">
        <v>172</v>
      </c>
      <c r="C191" s="98">
        <v>129114</v>
      </c>
      <c r="D191" s="99" t="s">
        <v>1071</v>
      </c>
      <c r="E191" s="99" t="s">
        <v>1219</v>
      </c>
      <c r="F191" s="99">
        <v>9940</v>
      </c>
      <c r="G191" s="99" t="s">
        <v>565</v>
      </c>
      <c r="H191" s="99" t="s">
        <v>1402</v>
      </c>
      <c r="I191" s="99" t="s">
        <v>415</v>
      </c>
      <c r="J191" s="99" t="s">
        <v>416</v>
      </c>
      <c r="K191" s="99" t="s">
        <v>1608</v>
      </c>
      <c r="L191" s="98">
        <v>21352</v>
      </c>
      <c r="M191" s="98">
        <v>24992</v>
      </c>
      <c r="N191" s="98">
        <v>129114</v>
      </c>
      <c r="O191" s="98">
        <v>129122</v>
      </c>
      <c r="P191" s="98"/>
      <c r="Q191" s="98"/>
      <c r="R191" s="98"/>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row>
    <row r="192" spans="1:52" ht="14.4" x14ac:dyDescent="0.3">
      <c r="A192" s="98">
        <v>121384</v>
      </c>
      <c r="B192" s="99" t="s">
        <v>332</v>
      </c>
      <c r="C192" s="98">
        <v>115907</v>
      </c>
      <c r="D192" s="99" t="s">
        <v>1570</v>
      </c>
      <c r="E192" s="99" t="s">
        <v>1197</v>
      </c>
      <c r="F192" s="99">
        <v>9140</v>
      </c>
      <c r="G192" s="99" t="s">
        <v>492</v>
      </c>
      <c r="H192" s="99" t="s">
        <v>1403</v>
      </c>
      <c r="I192" s="99" t="s">
        <v>485</v>
      </c>
      <c r="J192" s="99" t="s">
        <v>486</v>
      </c>
      <c r="K192" s="99" t="s">
        <v>487</v>
      </c>
      <c r="L192" s="98">
        <v>893</v>
      </c>
      <c r="M192" s="98">
        <v>968</v>
      </c>
      <c r="N192" s="98">
        <v>976</v>
      </c>
      <c r="O192" s="98">
        <v>984</v>
      </c>
      <c r="P192" s="100">
        <v>1016</v>
      </c>
      <c r="Q192" s="100">
        <v>1024</v>
      </c>
      <c r="R192" s="100">
        <v>1032</v>
      </c>
      <c r="S192" s="100">
        <v>1041</v>
      </c>
      <c r="T192" s="100">
        <v>2683</v>
      </c>
      <c r="U192" s="100">
        <v>2766</v>
      </c>
      <c r="V192" s="100">
        <v>115907</v>
      </c>
      <c r="W192" s="100">
        <v>128678</v>
      </c>
      <c r="X192" s="100">
        <v>131946</v>
      </c>
      <c r="Y192" s="100">
        <v>143545</v>
      </c>
      <c r="Z192" s="100">
        <v>143578</v>
      </c>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row>
    <row r="193" spans="1:52" ht="14.4" x14ac:dyDescent="0.3">
      <c r="A193" s="98">
        <v>121392</v>
      </c>
      <c r="B193" s="99" t="s">
        <v>173</v>
      </c>
      <c r="C193" s="98">
        <v>23978</v>
      </c>
      <c r="D193" s="99" t="s">
        <v>1112</v>
      </c>
      <c r="E193" s="99" t="s">
        <v>1115</v>
      </c>
      <c r="F193" s="99">
        <v>9630</v>
      </c>
      <c r="G193" s="99" t="s">
        <v>1116</v>
      </c>
      <c r="H193" s="99" t="s">
        <v>1404</v>
      </c>
      <c r="I193" s="99" t="s">
        <v>415</v>
      </c>
      <c r="J193" s="99" t="s">
        <v>416</v>
      </c>
      <c r="K193" s="99" t="s">
        <v>1608</v>
      </c>
      <c r="L193" s="98">
        <v>23771</v>
      </c>
      <c r="M193" s="98">
        <v>23978</v>
      </c>
      <c r="N193" s="98">
        <v>23994</v>
      </c>
      <c r="O193" s="98">
        <v>24075</v>
      </c>
      <c r="P193" s="98">
        <v>24109</v>
      </c>
      <c r="Q193" s="98">
        <v>110239</v>
      </c>
      <c r="R193" s="98"/>
      <c r="S193" s="98"/>
      <c r="T193" s="98"/>
      <c r="U193" s="98"/>
      <c r="V193" s="98"/>
      <c r="W193" s="98"/>
      <c r="X193" s="98"/>
      <c r="Y193" s="98"/>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row>
    <row r="194" spans="1:52" ht="14.4" x14ac:dyDescent="0.3">
      <c r="A194" s="98">
        <v>121401</v>
      </c>
      <c r="B194" s="99" t="s">
        <v>333</v>
      </c>
      <c r="C194" s="98">
        <v>24745</v>
      </c>
      <c r="D194" s="99" t="s">
        <v>1133</v>
      </c>
      <c r="E194" s="99" t="s">
        <v>1134</v>
      </c>
      <c r="F194" s="99">
        <v>9880</v>
      </c>
      <c r="G194" s="99" t="s">
        <v>592</v>
      </c>
      <c r="H194" s="99" t="s">
        <v>1405</v>
      </c>
      <c r="I194" s="99" t="s">
        <v>415</v>
      </c>
      <c r="J194" s="99" t="s">
        <v>416</v>
      </c>
      <c r="K194" s="99" t="s">
        <v>1608</v>
      </c>
      <c r="L194" s="98">
        <v>24653</v>
      </c>
      <c r="M194" s="98">
        <v>24661</v>
      </c>
      <c r="N194" s="98">
        <v>24695</v>
      </c>
      <c r="O194" s="98">
        <v>24737</v>
      </c>
      <c r="P194" s="98">
        <v>24745</v>
      </c>
      <c r="Q194" s="98">
        <v>24752</v>
      </c>
      <c r="R194" s="100">
        <v>24761</v>
      </c>
      <c r="S194" s="100">
        <v>24778</v>
      </c>
      <c r="T194" s="100">
        <v>53215</v>
      </c>
      <c r="U194" s="100">
        <v>129486</v>
      </c>
      <c r="V194" s="100">
        <v>138388</v>
      </c>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row>
    <row r="195" spans="1:52" ht="14.4" x14ac:dyDescent="0.3">
      <c r="A195" s="98">
        <v>121418</v>
      </c>
      <c r="B195" s="99" t="s">
        <v>174</v>
      </c>
      <c r="C195" s="98">
        <v>21411</v>
      </c>
      <c r="D195" s="99" t="s">
        <v>1571</v>
      </c>
      <c r="E195" s="99" t="s">
        <v>1072</v>
      </c>
      <c r="F195" s="99">
        <v>9060</v>
      </c>
      <c r="G195" s="99" t="s">
        <v>566</v>
      </c>
      <c r="H195" s="99" t="s">
        <v>1406</v>
      </c>
      <c r="I195" s="99" t="s">
        <v>485</v>
      </c>
      <c r="J195" s="99" t="s">
        <v>486</v>
      </c>
      <c r="K195" s="99" t="s">
        <v>487</v>
      </c>
      <c r="L195" s="98">
        <v>21411</v>
      </c>
      <c r="M195" s="98">
        <v>21477</v>
      </c>
      <c r="N195" s="98">
        <v>21485</v>
      </c>
      <c r="O195" s="98">
        <v>21501</v>
      </c>
      <c r="P195" s="98">
        <v>107847</v>
      </c>
      <c r="Q195" s="98"/>
      <c r="R195" s="98"/>
      <c r="S195" s="98"/>
      <c r="T195" s="98"/>
      <c r="U195" s="98"/>
      <c r="V195" s="98"/>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row>
    <row r="196" spans="1:52" ht="14.4" x14ac:dyDescent="0.3">
      <c r="A196" s="98">
        <v>121426</v>
      </c>
      <c r="B196" s="99" t="s">
        <v>334</v>
      </c>
      <c r="C196" s="98">
        <v>21873</v>
      </c>
      <c r="D196" s="99" t="s">
        <v>659</v>
      </c>
      <c r="E196" s="99" t="s">
        <v>931</v>
      </c>
      <c r="F196" s="99">
        <v>9080</v>
      </c>
      <c r="G196" s="99" t="s">
        <v>1081</v>
      </c>
      <c r="H196" s="99" t="s">
        <v>1407</v>
      </c>
      <c r="I196" s="99" t="s">
        <v>485</v>
      </c>
      <c r="J196" s="99" t="s">
        <v>486</v>
      </c>
      <c r="K196" s="99" t="s">
        <v>487</v>
      </c>
      <c r="L196" s="98">
        <v>21551</v>
      </c>
      <c r="M196" s="98">
        <v>21841</v>
      </c>
      <c r="N196" s="98">
        <v>21873</v>
      </c>
      <c r="O196" s="98">
        <v>22319</v>
      </c>
      <c r="P196" s="98">
        <v>22491</v>
      </c>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row>
    <row r="197" spans="1:52" ht="14.4" x14ac:dyDescent="0.3">
      <c r="A197" s="98">
        <v>121434</v>
      </c>
      <c r="B197" s="99" t="s">
        <v>335</v>
      </c>
      <c r="C197" s="98">
        <v>45211</v>
      </c>
      <c r="D197" s="99" t="s">
        <v>748</v>
      </c>
      <c r="E197" s="99" t="s">
        <v>1151</v>
      </c>
      <c r="F197" s="99">
        <v>9800</v>
      </c>
      <c r="G197" s="99" t="s">
        <v>1152</v>
      </c>
      <c r="H197" s="99" t="s">
        <v>1408</v>
      </c>
      <c r="I197" s="99" t="s">
        <v>415</v>
      </c>
      <c r="J197" s="99" t="s">
        <v>416</v>
      </c>
      <c r="K197" s="99" t="s">
        <v>1608</v>
      </c>
      <c r="L197" s="98">
        <v>24315</v>
      </c>
      <c r="M197" s="98">
        <v>24521</v>
      </c>
      <c r="N197" s="98">
        <v>24539</v>
      </c>
      <c r="O197" s="98">
        <v>24562</v>
      </c>
      <c r="P197" s="98">
        <v>24729</v>
      </c>
      <c r="Q197" s="100">
        <v>45211</v>
      </c>
      <c r="R197" s="100">
        <v>61325</v>
      </c>
      <c r="S197" s="100">
        <v>107904</v>
      </c>
      <c r="T197" s="100">
        <v>107912</v>
      </c>
      <c r="U197" s="100">
        <v>115675</v>
      </c>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row>
    <row r="198" spans="1:52" ht="14.4" x14ac:dyDescent="0.3">
      <c r="A198" s="98">
        <v>121459</v>
      </c>
      <c r="B198" s="99" t="s">
        <v>227</v>
      </c>
      <c r="C198" s="98">
        <v>11163</v>
      </c>
      <c r="D198" s="99" t="s">
        <v>839</v>
      </c>
      <c r="E198" s="99" t="s">
        <v>840</v>
      </c>
      <c r="F198" s="99">
        <v>2660</v>
      </c>
      <c r="G198" s="99" t="s">
        <v>838</v>
      </c>
      <c r="H198" s="99" t="s">
        <v>1409</v>
      </c>
      <c r="I198" s="99" t="s">
        <v>485</v>
      </c>
      <c r="J198" s="99" t="s">
        <v>486</v>
      </c>
      <c r="K198" s="99" t="s">
        <v>487</v>
      </c>
      <c r="L198" s="98">
        <v>11163</v>
      </c>
      <c r="M198" s="98">
        <v>11171</v>
      </c>
      <c r="N198" s="98">
        <v>11189</v>
      </c>
      <c r="O198" s="98">
        <v>11197</v>
      </c>
      <c r="P198" s="98">
        <v>11213</v>
      </c>
      <c r="Q198" s="98"/>
      <c r="R198" s="98"/>
      <c r="S198" s="98"/>
      <c r="T198" s="98"/>
      <c r="U198" s="98"/>
      <c r="V198" s="98"/>
      <c r="W198" s="98"/>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row>
    <row r="199" spans="1:52" ht="14.4" x14ac:dyDescent="0.3">
      <c r="A199" s="98">
        <v>121467</v>
      </c>
      <c r="B199" s="99" t="s">
        <v>175</v>
      </c>
      <c r="C199" s="98">
        <v>7476</v>
      </c>
      <c r="D199" s="99" t="s">
        <v>715</v>
      </c>
      <c r="E199" s="99" t="s">
        <v>728</v>
      </c>
      <c r="F199" s="99">
        <v>2900</v>
      </c>
      <c r="G199" s="99" t="s">
        <v>461</v>
      </c>
      <c r="H199" s="99" t="s">
        <v>1410</v>
      </c>
      <c r="I199" s="99" t="s">
        <v>450</v>
      </c>
      <c r="J199" s="99" t="s">
        <v>451</v>
      </c>
      <c r="K199" s="99" t="s">
        <v>452</v>
      </c>
      <c r="L199" s="98">
        <v>6932</v>
      </c>
      <c r="M199" s="98">
        <v>7476</v>
      </c>
      <c r="N199" s="98">
        <v>7526</v>
      </c>
      <c r="O199" s="98">
        <v>115601</v>
      </c>
      <c r="P199" s="98"/>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row>
    <row r="200" spans="1:52" ht="14.4" x14ac:dyDescent="0.3">
      <c r="A200" s="98">
        <v>121475</v>
      </c>
      <c r="B200" s="99" t="s">
        <v>336</v>
      </c>
      <c r="C200" s="98">
        <v>24372</v>
      </c>
      <c r="D200" s="99" t="s">
        <v>1572</v>
      </c>
      <c r="E200" s="99" t="s">
        <v>1130</v>
      </c>
      <c r="F200" s="99">
        <v>9750</v>
      </c>
      <c r="G200" s="99" t="s">
        <v>590</v>
      </c>
      <c r="H200" s="99" t="s">
        <v>1411</v>
      </c>
      <c r="I200" s="99" t="s">
        <v>415</v>
      </c>
      <c r="J200" s="99" t="s">
        <v>416</v>
      </c>
      <c r="K200" s="99" t="s">
        <v>1608</v>
      </c>
      <c r="L200" s="98">
        <v>24133</v>
      </c>
      <c r="M200" s="98">
        <v>24141</v>
      </c>
      <c r="N200" s="98">
        <v>24307</v>
      </c>
      <c r="O200" s="98">
        <v>24372</v>
      </c>
      <c r="P200" s="98">
        <v>24448</v>
      </c>
      <c r="Q200" s="98">
        <v>24489</v>
      </c>
      <c r="R200" s="100">
        <v>24513</v>
      </c>
      <c r="S200" s="100">
        <v>138529</v>
      </c>
      <c r="T200" s="100">
        <v>138561</v>
      </c>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row>
    <row r="201" spans="1:52" ht="14.4" x14ac:dyDescent="0.3">
      <c r="A201" s="98">
        <v>121483</v>
      </c>
      <c r="B201" s="99" t="s">
        <v>337</v>
      </c>
      <c r="C201" s="98">
        <v>9217</v>
      </c>
      <c r="D201" s="99" t="s">
        <v>794</v>
      </c>
      <c r="E201" s="99" t="s">
        <v>795</v>
      </c>
      <c r="F201" s="99">
        <v>2222</v>
      </c>
      <c r="G201" s="99" t="s">
        <v>793</v>
      </c>
      <c r="H201" s="99" t="s">
        <v>1412</v>
      </c>
      <c r="I201" s="99" t="s">
        <v>485</v>
      </c>
      <c r="J201" s="99" t="s">
        <v>486</v>
      </c>
      <c r="K201" s="99" t="s">
        <v>487</v>
      </c>
      <c r="L201" s="98">
        <v>9209</v>
      </c>
      <c r="M201" s="98">
        <v>9217</v>
      </c>
      <c r="N201" s="98">
        <v>10091</v>
      </c>
      <c r="O201" s="98">
        <v>10165</v>
      </c>
      <c r="P201" s="98">
        <v>10173</v>
      </c>
      <c r="Q201" s="98">
        <v>11833</v>
      </c>
      <c r="R201" s="98">
        <v>11924</v>
      </c>
      <c r="S201" s="98">
        <v>11932</v>
      </c>
      <c r="T201" s="98">
        <v>12674</v>
      </c>
      <c r="U201" s="100">
        <v>12691</v>
      </c>
      <c r="V201" s="100">
        <v>110577</v>
      </c>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row>
    <row r="202" spans="1:52" ht="14.4" x14ac:dyDescent="0.3">
      <c r="A202" s="98">
        <v>121491</v>
      </c>
      <c r="B202" s="99" t="s">
        <v>338</v>
      </c>
      <c r="C202" s="98">
        <v>8987</v>
      </c>
      <c r="D202" s="99" t="s">
        <v>760</v>
      </c>
      <c r="E202" s="99" t="s">
        <v>787</v>
      </c>
      <c r="F202" s="99">
        <v>2400</v>
      </c>
      <c r="G202" s="99" t="s">
        <v>476</v>
      </c>
      <c r="H202" s="99" t="s">
        <v>1413</v>
      </c>
      <c r="I202" s="99" t="s">
        <v>1620</v>
      </c>
      <c r="J202" s="99" t="s">
        <v>1621</v>
      </c>
      <c r="K202" s="99" t="s">
        <v>1622</v>
      </c>
      <c r="L202" s="98">
        <v>8987</v>
      </c>
      <c r="M202" s="98">
        <v>8995</v>
      </c>
      <c r="N202" s="98">
        <v>9051</v>
      </c>
      <c r="O202" s="98">
        <v>123455</v>
      </c>
      <c r="P202" s="98"/>
      <c r="Q202" s="98"/>
      <c r="R202" s="98"/>
      <c r="S202" s="98"/>
      <c r="T202" s="98"/>
      <c r="U202" s="98"/>
      <c r="V202" s="98"/>
      <c r="W202" s="98"/>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row>
    <row r="203" spans="1:52" ht="14.4" x14ac:dyDescent="0.3">
      <c r="A203" s="98">
        <v>121509</v>
      </c>
      <c r="B203" s="99" t="s">
        <v>339</v>
      </c>
      <c r="C203" s="98">
        <v>7807</v>
      </c>
      <c r="D203" s="99" t="s">
        <v>669</v>
      </c>
      <c r="E203" s="99" t="s">
        <v>741</v>
      </c>
      <c r="F203" s="99">
        <v>2980</v>
      </c>
      <c r="G203" s="99" t="s">
        <v>465</v>
      </c>
      <c r="H203" s="99" t="s">
        <v>1414</v>
      </c>
      <c r="I203" s="99" t="s">
        <v>450</v>
      </c>
      <c r="J203" s="99" t="s">
        <v>451</v>
      </c>
      <c r="K203" s="99" t="s">
        <v>452</v>
      </c>
      <c r="L203" s="98">
        <v>7682</v>
      </c>
      <c r="M203" s="98">
        <v>7807</v>
      </c>
      <c r="N203" s="98">
        <v>8251</v>
      </c>
      <c r="O203" s="98">
        <v>8284</v>
      </c>
      <c r="P203" s="98">
        <v>9894</v>
      </c>
      <c r="Q203" s="100">
        <v>118232</v>
      </c>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row>
    <row r="204" spans="1:52" ht="14.4" x14ac:dyDescent="0.3">
      <c r="A204" s="98">
        <v>121533</v>
      </c>
      <c r="B204" s="99" t="s">
        <v>340</v>
      </c>
      <c r="C204" s="98">
        <v>8458</v>
      </c>
      <c r="D204" s="99" t="s">
        <v>693</v>
      </c>
      <c r="E204" s="99" t="s">
        <v>759</v>
      </c>
      <c r="F204" s="99">
        <v>2280</v>
      </c>
      <c r="G204" s="99" t="s">
        <v>471</v>
      </c>
      <c r="H204" s="99" t="s">
        <v>1415</v>
      </c>
      <c r="I204" s="99" t="s">
        <v>450</v>
      </c>
      <c r="J204" s="99" t="s">
        <v>451</v>
      </c>
      <c r="K204" s="99" t="s">
        <v>452</v>
      </c>
      <c r="L204" s="98">
        <v>8334</v>
      </c>
      <c r="M204" s="98">
        <v>8391</v>
      </c>
      <c r="N204" s="98">
        <v>8409</v>
      </c>
      <c r="O204" s="98">
        <v>8458</v>
      </c>
      <c r="P204" s="98">
        <v>8474</v>
      </c>
      <c r="Q204" s="98"/>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row>
    <row r="205" spans="1:52" ht="14.4" x14ac:dyDescent="0.3">
      <c r="A205" s="98">
        <v>121541</v>
      </c>
      <c r="B205" s="99" t="s">
        <v>341</v>
      </c>
      <c r="C205" s="98">
        <v>112921</v>
      </c>
      <c r="D205" s="99" t="s">
        <v>717</v>
      </c>
      <c r="E205" s="99" t="s">
        <v>1192</v>
      </c>
      <c r="F205" s="99">
        <v>2940</v>
      </c>
      <c r="G205" s="99" t="s">
        <v>719</v>
      </c>
      <c r="H205" s="99" t="s">
        <v>1416</v>
      </c>
      <c r="I205" s="99" t="s">
        <v>450</v>
      </c>
      <c r="J205" s="99" t="s">
        <v>451</v>
      </c>
      <c r="K205" s="99" t="s">
        <v>452</v>
      </c>
      <c r="L205" s="98">
        <v>6999</v>
      </c>
      <c r="M205" s="98">
        <v>7021</v>
      </c>
      <c r="N205" s="98">
        <v>7112</v>
      </c>
      <c r="O205" s="98">
        <v>102574</v>
      </c>
      <c r="P205" s="98">
        <v>112921</v>
      </c>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row>
    <row r="206" spans="1:52" ht="14.4" x14ac:dyDescent="0.3">
      <c r="A206" s="98">
        <v>121558</v>
      </c>
      <c r="B206" s="99" t="s">
        <v>176</v>
      </c>
      <c r="C206" s="98">
        <v>7799</v>
      </c>
      <c r="D206" s="99" t="s">
        <v>739</v>
      </c>
      <c r="E206" s="99" t="s">
        <v>740</v>
      </c>
      <c r="F206" s="99">
        <v>2960</v>
      </c>
      <c r="G206" s="99" t="s">
        <v>738</v>
      </c>
      <c r="H206" s="99" t="s">
        <v>1417</v>
      </c>
      <c r="I206" s="99" t="s">
        <v>450</v>
      </c>
      <c r="J206" s="99" t="s">
        <v>451</v>
      </c>
      <c r="K206" s="99" t="s">
        <v>452</v>
      </c>
      <c r="L206" s="98">
        <v>7799</v>
      </c>
      <c r="M206" s="98">
        <v>7823</v>
      </c>
      <c r="N206" s="98">
        <v>7864</v>
      </c>
      <c r="O206" s="98">
        <v>102681</v>
      </c>
      <c r="P206" s="98"/>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row>
    <row r="207" spans="1:52" ht="14.4" x14ac:dyDescent="0.3">
      <c r="A207" s="98">
        <v>121566</v>
      </c>
      <c r="B207" s="99" t="s">
        <v>177</v>
      </c>
      <c r="C207" s="98">
        <v>8482</v>
      </c>
      <c r="D207" s="99" t="s">
        <v>736</v>
      </c>
      <c r="E207" s="99" t="s">
        <v>761</v>
      </c>
      <c r="F207" s="99">
        <v>2290</v>
      </c>
      <c r="G207" s="99" t="s">
        <v>762</v>
      </c>
      <c r="H207" s="99" t="s">
        <v>1418</v>
      </c>
      <c r="I207" s="99" t="s">
        <v>1620</v>
      </c>
      <c r="J207" s="99" t="s">
        <v>1621</v>
      </c>
      <c r="K207" s="99" t="s">
        <v>1622</v>
      </c>
      <c r="L207" s="98">
        <v>7741</v>
      </c>
      <c r="M207" s="98">
        <v>8482</v>
      </c>
      <c r="N207" s="98">
        <v>9159</v>
      </c>
      <c r="O207" s="98">
        <v>9175</v>
      </c>
      <c r="P207" s="100">
        <v>53314</v>
      </c>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row>
    <row r="208" spans="1:52" ht="14.4" x14ac:dyDescent="0.3">
      <c r="A208" s="98">
        <v>121574</v>
      </c>
      <c r="B208" s="99" t="s">
        <v>178</v>
      </c>
      <c r="C208" s="98">
        <v>7708</v>
      </c>
      <c r="D208" s="99" t="s">
        <v>1573</v>
      </c>
      <c r="E208" s="99" t="s">
        <v>733</v>
      </c>
      <c r="F208" s="99">
        <v>2390</v>
      </c>
      <c r="G208" s="99" t="s">
        <v>732</v>
      </c>
      <c r="H208" s="99" t="s">
        <v>1419</v>
      </c>
      <c r="I208" s="99" t="s">
        <v>450</v>
      </c>
      <c r="J208" s="99" t="s">
        <v>451</v>
      </c>
      <c r="K208" s="99" t="s">
        <v>452</v>
      </c>
      <c r="L208" s="98">
        <v>7708</v>
      </c>
      <c r="M208" s="98">
        <v>7765</v>
      </c>
      <c r="N208" s="98">
        <v>8326</v>
      </c>
      <c r="O208" s="98">
        <v>8367</v>
      </c>
      <c r="P208" s="98">
        <v>47027</v>
      </c>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row>
    <row r="209" spans="1:52" ht="14.4" x14ac:dyDescent="0.3">
      <c r="A209" s="98">
        <v>121582</v>
      </c>
      <c r="B209" s="99" t="s">
        <v>179</v>
      </c>
      <c r="C209" s="98">
        <v>17186</v>
      </c>
      <c r="D209" s="99" t="s">
        <v>981</v>
      </c>
      <c r="E209" s="99" t="s">
        <v>982</v>
      </c>
      <c r="F209" s="99">
        <v>8810</v>
      </c>
      <c r="G209" s="99" t="s">
        <v>535</v>
      </c>
      <c r="H209" s="99" t="s">
        <v>1420</v>
      </c>
      <c r="I209" s="99" t="s">
        <v>1617</v>
      </c>
      <c r="J209" s="99" t="s">
        <v>1618</v>
      </c>
      <c r="K209" s="99" t="s">
        <v>1619</v>
      </c>
      <c r="L209" s="98">
        <v>17186</v>
      </c>
      <c r="M209" s="98">
        <v>17319</v>
      </c>
      <c r="N209" s="98">
        <v>17772</v>
      </c>
      <c r="O209" s="98">
        <v>19794</v>
      </c>
      <c r="P209" s="98">
        <v>19844</v>
      </c>
      <c r="Q209" s="100">
        <v>20149</v>
      </c>
      <c r="R209" s="100">
        <v>20222</v>
      </c>
      <c r="S209" s="100">
        <v>20362</v>
      </c>
      <c r="T209" s="100">
        <v>126367</v>
      </c>
      <c r="U209" s="100">
        <v>137489</v>
      </c>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row>
    <row r="210" spans="1:52" ht="14.4" x14ac:dyDescent="0.3">
      <c r="A210" s="98">
        <v>121591</v>
      </c>
      <c r="B210" s="99" t="s">
        <v>180</v>
      </c>
      <c r="C210" s="98">
        <v>55831</v>
      </c>
      <c r="D210" s="99" t="s">
        <v>730</v>
      </c>
      <c r="E210" s="99" t="s">
        <v>1165</v>
      </c>
      <c r="F210" s="99">
        <v>2930</v>
      </c>
      <c r="G210" s="99" t="s">
        <v>464</v>
      </c>
      <c r="H210" s="99" t="s">
        <v>1421</v>
      </c>
      <c r="I210" s="99" t="s">
        <v>450</v>
      </c>
      <c r="J210" s="99" t="s">
        <v>451</v>
      </c>
      <c r="K210" s="99" t="s">
        <v>452</v>
      </c>
      <c r="L210" s="98">
        <v>7583</v>
      </c>
      <c r="M210" s="98">
        <v>7591</v>
      </c>
      <c r="N210" s="98">
        <v>7609</v>
      </c>
      <c r="O210" s="98">
        <v>7641</v>
      </c>
      <c r="P210" s="98">
        <v>55831</v>
      </c>
      <c r="Q210" s="98"/>
      <c r="R210" s="98"/>
      <c r="S210" s="98"/>
      <c r="T210" s="98"/>
      <c r="U210" s="98"/>
      <c r="V210" s="98"/>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row>
    <row r="211" spans="1:52" ht="14.4" x14ac:dyDescent="0.3">
      <c r="A211" s="98">
        <v>121608</v>
      </c>
      <c r="B211" s="99" t="s">
        <v>228</v>
      </c>
      <c r="C211" s="98">
        <v>9456</v>
      </c>
      <c r="D211" s="99" t="s">
        <v>1574</v>
      </c>
      <c r="E211" s="99" t="s">
        <v>802</v>
      </c>
      <c r="F211" s="99">
        <v>2460</v>
      </c>
      <c r="G211" s="99" t="s">
        <v>600</v>
      </c>
      <c r="H211" s="99" t="s">
        <v>1575</v>
      </c>
      <c r="I211" s="99" t="s">
        <v>1620</v>
      </c>
      <c r="J211" s="99" t="s">
        <v>1621</v>
      </c>
      <c r="K211" s="99" t="s">
        <v>1622</v>
      </c>
      <c r="L211" s="98">
        <v>9373</v>
      </c>
      <c r="M211" s="98">
        <v>9399</v>
      </c>
      <c r="N211" s="98">
        <v>9407</v>
      </c>
      <c r="O211" s="98">
        <v>9449</v>
      </c>
      <c r="P211" s="98">
        <v>9456</v>
      </c>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row>
    <row r="212" spans="1:52" ht="14.4" x14ac:dyDescent="0.3">
      <c r="A212" s="98">
        <v>121616</v>
      </c>
      <c r="B212" s="99" t="s">
        <v>181</v>
      </c>
      <c r="C212" s="98">
        <v>7716</v>
      </c>
      <c r="D212" s="99" t="s">
        <v>713</v>
      </c>
      <c r="E212" s="99" t="s">
        <v>734</v>
      </c>
      <c r="F212" s="99">
        <v>2390</v>
      </c>
      <c r="G212" s="99" t="s">
        <v>735</v>
      </c>
      <c r="H212" s="99" t="s">
        <v>1422</v>
      </c>
      <c r="I212" s="99" t="s">
        <v>1620</v>
      </c>
      <c r="J212" s="99" t="s">
        <v>1621</v>
      </c>
      <c r="K212" s="99" t="s">
        <v>1622</v>
      </c>
      <c r="L212" s="98">
        <v>7716</v>
      </c>
      <c r="M212" s="98">
        <v>8649</v>
      </c>
      <c r="N212" s="98">
        <v>8656</v>
      </c>
      <c r="O212" s="98">
        <v>8664</v>
      </c>
      <c r="P212" s="98">
        <v>53322</v>
      </c>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row>
    <row r="213" spans="1:52" ht="14.4" x14ac:dyDescent="0.3">
      <c r="A213" s="98">
        <v>121624</v>
      </c>
      <c r="B213" s="99" t="s">
        <v>182</v>
      </c>
      <c r="C213" s="98">
        <v>6924</v>
      </c>
      <c r="D213" s="99" t="s">
        <v>1576</v>
      </c>
      <c r="E213" s="99" t="s">
        <v>714</v>
      </c>
      <c r="F213" s="99">
        <v>2170</v>
      </c>
      <c r="G213" s="99" t="s">
        <v>454</v>
      </c>
      <c r="H213" s="99" t="s">
        <v>1577</v>
      </c>
      <c r="I213" s="99" t="s">
        <v>485</v>
      </c>
      <c r="J213" s="99" t="s">
        <v>486</v>
      </c>
      <c r="K213" s="99" t="s">
        <v>487</v>
      </c>
      <c r="L213" s="98">
        <v>6858</v>
      </c>
      <c r="M213" s="98">
        <v>6916</v>
      </c>
      <c r="N213" s="98">
        <v>6924</v>
      </c>
      <c r="O213" s="98">
        <v>48322</v>
      </c>
      <c r="P213" s="98">
        <v>110511</v>
      </c>
      <c r="Q213" s="100">
        <v>115436</v>
      </c>
      <c r="R213" s="100">
        <v>115931</v>
      </c>
      <c r="S213" s="100">
        <v>116186</v>
      </c>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row>
    <row r="214" spans="1:52" ht="14.4" x14ac:dyDescent="0.3">
      <c r="A214" s="98">
        <v>121641</v>
      </c>
      <c r="B214" s="99" t="s">
        <v>183</v>
      </c>
      <c r="C214" s="98">
        <v>7971</v>
      </c>
      <c r="D214" s="99" t="s">
        <v>1578</v>
      </c>
      <c r="E214" s="99" t="s">
        <v>747</v>
      </c>
      <c r="F214" s="99">
        <v>2910</v>
      </c>
      <c r="G214" s="99" t="s">
        <v>468</v>
      </c>
      <c r="H214" s="99" t="s">
        <v>1423</v>
      </c>
      <c r="I214" s="99" t="s">
        <v>450</v>
      </c>
      <c r="J214" s="99" t="s">
        <v>451</v>
      </c>
      <c r="K214" s="99" t="s">
        <v>452</v>
      </c>
      <c r="L214" s="98">
        <v>7971</v>
      </c>
      <c r="M214" s="98">
        <v>7989</v>
      </c>
      <c r="N214" s="98">
        <v>7997</v>
      </c>
      <c r="O214" s="98">
        <v>8003</v>
      </c>
      <c r="P214" s="98">
        <v>8011</v>
      </c>
      <c r="Q214" s="98"/>
      <c r="R214" s="98"/>
      <c r="S214" s="98"/>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row>
    <row r="215" spans="1:52" ht="14.4" x14ac:dyDescent="0.3">
      <c r="A215" s="98">
        <v>121657</v>
      </c>
      <c r="B215" s="99" t="s">
        <v>184</v>
      </c>
      <c r="C215" s="98">
        <v>16791</v>
      </c>
      <c r="D215" s="99" t="s">
        <v>971</v>
      </c>
      <c r="E215" s="99" t="s">
        <v>796</v>
      </c>
      <c r="F215" s="99">
        <v>2450</v>
      </c>
      <c r="G215" s="99" t="s">
        <v>531</v>
      </c>
      <c r="H215" s="99" t="s">
        <v>1424</v>
      </c>
      <c r="I215" s="99" t="s">
        <v>1620</v>
      </c>
      <c r="J215" s="99" t="s">
        <v>1621</v>
      </c>
      <c r="K215" s="99" t="s">
        <v>1622</v>
      </c>
      <c r="L215" s="98">
        <v>16774</v>
      </c>
      <c r="M215" s="98">
        <v>16791</v>
      </c>
      <c r="N215" s="98">
        <v>16857</v>
      </c>
      <c r="O215" s="98"/>
      <c r="P215" s="98"/>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row>
    <row r="216" spans="1:52" ht="14.4" x14ac:dyDescent="0.3">
      <c r="A216" s="98">
        <v>121665</v>
      </c>
      <c r="B216" s="99" t="s">
        <v>1579</v>
      </c>
      <c r="C216" s="98">
        <v>11387</v>
      </c>
      <c r="D216" s="99" t="s">
        <v>1580</v>
      </c>
      <c r="E216" s="99" t="s">
        <v>848</v>
      </c>
      <c r="F216" s="99">
        <v>9150</v>
      </c>
      <c r="G216" s="99" t="s">
        <v>494</v>
      </c>
      <c r="H216" s="99" t="s">
        <v>1425</v>
      </c>
      <c r="I216" s="99" t="s">
        <v>485</v>
      </c>
      <c r="J216" s="99" t="s">
        <v>486</v>
      </c>
      <c r="K216" s="99" t="s">
        <v>487</v>
      </c>
      <c r="L216" s="98">
        <v>10504</v>
      </c>
      <c r="M216" s="98">
        <v>11221</v>
      </c>
      <c r="N216" s="98">
        <v>11239</v>
      </c>
      <c r="O216" s="100">
        <v>11247</v>
      </c>
      <c r="P216" s="100">
        <v>11254</v>
      </c>
      <c r="Q216" s="100">
        <v>11262</v>
      </c>
      <c r="R216" s="100">
        <v>11387</v>
      </c>
      <c r="S216" s="100">
        <v>110072</v>
      </c>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row>
    <row r="217" spans="1:52" ht="14.4" x14ac:dyDescent="0.3">
      <c r="A217" s="98">
        <v>121681</v>
      </c>
      <c r="B217" s="99" t="s">
        <v>342</v>
      </c>
      <c r="C217" s="98">
        <v>110569</v>
      </c>
      <c r="D217" s="99" t="s">
        <v>811</v>
      </c>
      <c r="E217" s="99" t="s">
        <v>1187</v>
      </c>
      <c r="F217" s="99">
        <v>2600</v>
      </c>
      <c r="G217" s="99" t="s">
        <v>824</v>
      </c>
      <c r="H217" s="99" t="s">
        <v>1426</v>
      </c>
      <c r="I217" s="99" t="s">
        <v>450</v>
      </c>
      <c r="J217" s="99" t="s">
        <v>451</v>
      </c>
      <c r="K217" s="99" t="s">
        <v>452</v>
      </c>
      <c r="L217" s="98">
        <v>9753</v>
      </c>
      <c r="M217" s="98">
        <v>9761</v>
      </c>
      <c r="N217" s="98">
        <v>110569</v>
      </c>
      <c r="O217" s="98">
        <v>112623</v>
      </c>
      <c r="P217" s="98">
        <v>130153</v>
      </c>
      <c r="Q217" s="98"/>
      <c r="R217" s="98"/>
      <c r="S217" s="98"/>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row>
    <row r="218" spans="1:52" ht="14.4" x14ac:dyDescent="0.3">
      <c r="A218" s="98">
        <v>121699</v>
      </c>
      <c r="B218" s="99" t="s">
        <v>343</v>
      </c>
      <c r="C218" s="98">
        <v>9481</v>
      </c>
      <c r="D218" s="99" t="s">
        <v>782</v>
      </c>
      <c r="E218" s="99" t="s">
        <v>805</v>
      </c>
      <c r="F218" s="99">
        <v>2470</v>
      </c>
      <c r="G218" s="99" t="s">
        <v>804</v>
      </c>
      <c r="H218" s="99" t="s">
        <v>1427</v>
      </c>
      <c r="I218" s="99" t="s">
        <v>1620</v>
      </c>
      <c r="J218" s="99" t="s">
        <v>1621</v>
      </c>
      <c r="K218" s="99" t="s">
        <v>1622</v>
      </c>
      <c r="L218" s="98">
        <v>8904</v>
      </c>
      <c r="M218" s="98">
        <v>9464</v>
      </c>
      <c r="N218" s="98">
        <v>9481</v>
      </c>
      <c r="O218" s="98">
        <v>9498</v>
      </c>
      <c r="P218" s="98">
        <v>9506</v>
      </c>
      <c r="Q218" s="98"/>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row>
    <row r="219" spans="1:52" ht="14.4" x14ac:dyDescent="0.3">
      <c r="A219" s="98">
        <v>121707</v>
      </c>
      <c r="B219" s="99" t="s">
        <v>185</v>
      </c>
      <c r="C219" s="98">
        <v>9803</v>
      </c>
      <c r="D219" s="99" t="s">
        <v>812</v>
      </c>
      <c r="E219" s="99" t="s">
        <v>813</v>
      </c>
      <c r="F219" s="99">
        <v>2650</v>
      </c>
      <c r="G219" s="99" t="s">
        <v>481</v>
      </c>
      <c r="H219" s="99" t="s">
        <v>1428</v>
      </c>
      <c r="I219" s="99" t="s">
        <v>450</v>
      </c>
      <c r="J219" s="99" t="s">
        <v>451</v>
      </c>
      <c r="K219" s="99" t="s">
        <v>452</v>
      </c>
      <c r="L219" s="98">
        <v>9787</v>
      </c>
      <c r="M219" s="98">
        <v>9803</v>
      </c>
      <c r="N219" s="98">
        <v>9829</v>
      </c>
      <c r="O219" s="98">
        <v>110627</v>
      </c>
      <c r="P219" s="98">
        <v>112631</v>
      </c>
      <c r="Q219" s="100">
        <v>137562</v>
      </c>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row>
    <row r="220" spans="1:52" ht="14.4" x14ac:dyDescent="0.3">
      <c r="A220" s="98">
        <v>121715</v>
      </c>
      <c r="B220" s="99" t="s">
        <v>186</v>
      </c>
      <c r="C220" s="98">
        <v>7906</v>
      </c>
      <c r="D220" s="99" t="s">
        <v>623</v>
      </c>
      <c r="E220" s="99" t="s">
        <v>745</v>
      </c>
      <c r="F220" s="99">
        <v>2920</v>
      </c>
      <c r="G220" s="99" t="s">
        <v>467</v>
      </c>
      <c r="H220" s="99" t="s">
        <v>1429</v>
      </c>
      <c r="I220" s="99" t="s">
        <v>450</v>
      </c>
      <c r="J220" s="99" t="s">
        <v>451</v>
      </c>
      <c r="K220" s="99" t="s">
        <v>452</v>
      </c>
      <c r="L220" s="98">
        <v>7906</v>
      </c>
      <c r="M220" s="98">
        <v>7914</v>
      </c>
      <c r="N220" s="98">
        <v>7922</v>
      </c>
      <c r="O220" s="98">
        <v>7931</v>
      </c>
      <c r="P220" s="98"/>
      <c r="Q220" s="98"/>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row>
    <row r="221" spans="1:52" ht="14.4" x14ac:dyDescent="0.3">
      <c r="A221" s="98">
        <v>121723</v>
      </c>
      <c r="B221" s="99" t="s">
        <v>344</v>
      </c>
      <c r="C221" s="98">
        <v>448</v>
      </c>
      <c r="D221" s="99" t="s">
        <v>457</v>
      </c>
      <c r="E221" s="99" t="s">
        <v>458</v>
      </c>
      <c r="F221" s="99">
        <v>2950</v>
      </c>
      <c r="G221" s="99" t="s">
        <v>459</v>
      </c>
      <c r="H221" s="99" t="s">
        <v>1430</v>
      </c>
      <c r="I221" s="99" t="s">
        <v>450</v>
      </c>
      <c r="J221" s="99" t="s">
        <v>451</v>
      </c>
      <c r="K221" s="99" t="s">
        <v>452</v>
      </c>
      <c r="L221" s="98">
        <v>431</v>
      </c>
      <c r="M221" s="98">
        <v>448</v>
      </c>
      <c r="N221" s="98">
        <v>455</v>
      </c>
      <c r="O221" s="98">
        <v>521</v>
      </c>
      <c r="P221" s="100">
        <v>539</v>
      </c>
      <c r="Q221" s="100">
        <v>547</v>
      </c>
      <c r="R221" s="100">
        <v>132332</v>
      </c>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row>
    <row r="222" spans="1:52" ht="14.4" x14ac:dyDescent="0.3">
      <c r="A222" s="98">
        <v>121756</v>
      </c>
      <c r="B222" s="99" t="s">
        <v>345</v>
      </c>
      <c r="C222" s="98">
        <v>9282</v>
      </c>
      <c r="D222" s="99" t="s">
        <v>1581</v>
      </c>
      <c r="E222" s="99" t="s">
        <v>797</v>
      </c>
      <c r="F222" s="99">
        <v>2440</v>
      </c>
      <c r="G222" s="99" t="s">
        <v>478</v>
      </c>
      <c r="H222" s="99" t="s">
        <v>1431</v>
      </c>
      <c r="I222" s="99" t="s">
        <v>1620</v>
      </c>
      <c r="J222" s="99" t="s">
        <v>1621</v>
      </c>
      <c r="K222" s="99" t="s">
        <v>1622</v>
      </c>
      <c r="L222" s="98">
        <v>9282</v>
      </c>
      <c r="M222" s="98">
        <v>45311</v>
      </c>
      <c r="N222" s="98">
        <v>62364</v>
      </c>
      <c r="O222" s="98"/>
      <c r="P222" s="98"/>
      <c r="Q222" s="98"/>
      <c r="R222" s="98"/>
      <c r="S222" s="98"/>
      <c r="T222" s="98"/>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row>
    <row r="223" spans="1:52" ht="14.4" x14ac:dyDescent="0.3">
      <c r="A223" s="98">
        <v>121764</v>
      </c>
      <c r="B223" s="99" t="s">
        <v>187</v>
      </c>
      <c r="C223" s="98">
        <v>7344</v>
      </c>
      <c r="D223" s="99" t="s">
        <v>721</v>
      </c>
      <c r="E223" s="99" t="s">
        <v>722</v>
      </c>
      <c r="F223" s="99">
        <v>2100</v>
      </c>
      <c r="G223" s="99" t="s">
        <v>720</v>
      </c>
      <c r="H223" s="99" t="s">
        <v>1432</v>
      </c>
      <c r="I223" s="99" t="s">
        <v>450</v>
      </c>
      <c r="J223" s="99" t="s">
        <v>451</v>
      </c>
      <c r="K223" s="99" t="s">
        <v>452</v>
      </c>
      <c r="L223" s="98">
        <v>7311</v>
      </c>
      <c r="M223" s="98">
        <v>7328</v>
      </c>
      <c r="N223" s="98">
        <v>7336</v>
      </c>
      <c r="O223" s="98">
        <v>7344</v>
      </c>
      <c r="P223" s="98">
        <v>7369</v>
      </c>
      <c r="Q223" s="100">
        <v>7377</v>
      </c>
      <c r="R223" s="100">
        <v>7401</v>
      </c>
      <c r="S223" s="100">
        <v>112482</v>
      </c>
      <c r="T223" s="100">
        <v>124198</v>
      </c>
      <c r="U223" s="100">
        <v>129064</v>
      </c>
      <c r="V223" s="100">
        <v>130054</v>
      </c>
      <c r="W223" s="100">
        <v>138602</v>
      </c>
      <c r="X223" s="100">
        <v>143594</v>
      </c>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row>
    <row r="224" spans="1:52" ht="14.4" x14ac:dyDescent="0.3">
      <c r="A224" s="98">
        <v>121772</v>
      </c>
      <c r="B224" s="99" t="s">
        <v>402</v>
      </c>
      <c r="C224" s="98">
        <v>21154</v>
      </c>
      <c r="D224" s="99" t="s">
        <v>1066</v>
      </c>
      <c r="E224" s="99" t="s">
        <v>1067</v>
      </c>
      <c r="F224" s="99">
        <v>9000</v>
      </c>
      <c r="G224" s="99" t="s">
        <v>562</v>
      </c>
      <c r="H224" s="99" t="s">
        <v>1433</v>
      </c>
      <c r="I224" s="99" t="s">
        <v>415</v>
      </c>
      <c r="J224" s="99" t="s">
        <v>416</v>
      </c>
      <c r="K224" s="99" t="s">
        <v>1608</v>
      </c>
      <c r="L224" s="98">
        <v>21071</v>
      </c>
      <c r="M224" s="98">
        <v>21154</v>
      </c>
      <c r="N224" s="98">
        <v>21162</v>
      </c>
      <c r="O224" s="98">
        <v>21171</v>
      </c>
      <c r="P224" s="98">
        <v>21196</v>
      </c>
      <c r="Q224" s="98">
        <v>21527</v>
      </c>
      <c r="R224" s="98">
        <v>21535</v>
      </c>
      <c r="S224" s="98">
        <v>129551</v>
      </c>
      <c r="T224" s="98">
        <v>130146</v>
      </c>
      <c r="U224" s="98"/>
      <c r="V224" s="98"/>
      <c r="W224" s="98"/>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row>
    <row r="225" spans="1:52" ht="14.4" x14ac:dyDescent="0.3">
      <c r="A225" s="98">
        <v>121781</v>
      </c>
      <c r="B225" s="99" t="s">
        <v>188</v>
      </c>
      <c r="C225" s="98">
        <v>8961</v>
      </c>
      <c r="D225" s="99" t="s">
        <v>763</v>
      </c>
      <c r="E225" s="99" t="s">
        <v>785</v>
      </c>
      <c r="F225" s="99">
        <v>2382</v>
      </c>
      <c r="G225" s="99" t="s">
        <v>786</v>
      </c>
      <c r="H225" s="99" t="s">
        <v>1434</v>
      </c>
      <c r="I225" s="99" t="s">
        <v>1620</v>
      </c>
      <c r="J225" s="99" t="s">
        <v>1621</v>
      </c>
      <c r="K225" s="99" t="s">
        <v>1622</v>
      </c>
      <c r="L225" s="98">
        <v>8508</v>
      </c>
      <c r="M225" s="98">
        <v>8763</v>
      </c>
      <c r="N225" s="98">
        <v>8961</v>
      </c>
      <c r="O225" s="98">
        <v>102673</v>
      </c>
      <c r="P225" s="98">
        <v>104638</v>
      </c>
      <c r="Q225" s="98">
        <v>138537</v>
      </c>
      <c r="R225" s="98"/>
      <c r="S225" s="98"/>
      <c r="T225" s="98"/>
      <c r="U225" s="98"/>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row>
    <row r="226" spans="1:52" ht="14.4" x14ac:dyDescent="0.3">
      <c r="A226" s="98">
        <v>121798</v>
      </c>
      <c r="B226" s="99" t="s">
        <v>76</v>
      </c>
      <c r="C226" s="98">
        <v>20941</v>
      </c>
      <c r="D226" s="99" t="s">
        <v>1061</v>
      </c>
      <c r="E226" s="99" t="s">
        <v>1062</v>
      </c>
      <c r="F226" s="99">
        <v>9000</v>
      </c>
      <c r="G226" s="99" t="s">
        <v>562</v>
      </c>
      <c r="H226" s="99" t="s">
        <v>1640</v>
      </c>
      <c r="I226" s="99" t="s">
        <v>415</v>
      </c>
      <c r="J226" s="99" t="s">
        <v>416</v>
      </c>
      <c r="K226" s="99" t="s">
        <v>1608</v>
      </c>
      <c r="L226" s="98">
        <v>20842</v>
      </c>
      <c r="M226" s="98">
        <v>20859</v>
      </c>
      <c r="N226" s="98">
        <v>20875</v>
      </c>
      <c r="O226" s="98">
        <v>20891</v>
      </c>
      <c r="P226" s="98">
        <v>20909</v>
      </c>
      <c r="Q226" s="98">
        <v>20917</v>
      </c>
      <c r="R226" s="100">
        <v>20925</v>
      </c>
      <c r="S226" s="100">
        <v>20933</v>
      </c>
      <c r="T226" s="100">
        <v>20941</v>
      </c>
      <c r="U226" s="100">
        <v>20958</v>
      </c>
      <c r="V226" s="100">
        <v>20982</v>
      </c>
      <c r="W226" s="100">
        <v>21055</v>
      </c>
      <c r="X226" s="100">
        <v>21063</v>
      </c>
      <c r="Y226" s="100">
        <v>21121</v>
      </c>
      <c r="Z226" s="100">
        <v>21147</v>
      </c>
      <c r="AA226" s="100">
        <v>21295</v>
      </c>
      <c r="AB226" s="100">
        <v>21337</v>
      </c>
      <c r="AC226" s="100">
        <v>21774</v>
      </c>
      <c r="AD226" s="100">
        <v>22335</v>
      </c>
      <c r="AE226" s="100">
        <v>22392</v>
      </c>
      <c r="AF226" s="100">
        <v>22401</v>
      </c>
      <c r="AG226" s="100">
        <v>24571</v>
      </c>
      <c r="AH226" s="100">
        <v>24604</v>
      </c>
      <c r="AI226" s="100">
        <v>24869</v>
      </c>
      <c r="AJ226" s="100">
        <v>45261</v>
      </c>
      <c r="AK226" s="100">
        <v>103549</v>
      </c>
      <c r="AL226" s="100">
        <v>107805</v>
      </c>
      <c r="AM226" s="100">
        <v>124263</v>
      </c>
      <c r="AN226" s="100">
        <v>128173</v>
      </c>
      <c r="AO226" s="100">
        <v>129213</v>
      </c>
      <c r="AP226" s="100">
        <v>130138</v>
      </c>
      <c r="AQ226" s="100">
        <v>131474</v>
      </c>
      <c r="AR226" s="100">
        <v>131961</v>
      </c>
      <c r="AS226" s="100">
        <v>131979</v>
      </c>
      <c r="AT226" s="100">
        <v>137588</v>
      </c>
      <c r="AU226" s="100">
        <v>138503</v>
      </c>
      <c r="AV226" s="100"/>
      <c r="AW226" s="100"/>
      <c r="AX226" s="100"/>
      <c r="AY226" s="100"/>
      <c r="AZ226" s="100"/>
    </row>
    <row r="227" spans="1:52" ht="14.4" x14ac:dyDescent="0.3">
      <c r="A227" s="98">
        <v>121806</v>
      </c>
      <c r="B227" s="99" t="s">
        <v>248</v>
      </c>
      <c r="C227" s="98">
        <v>7501</v>
      </c>
      <c r="D227" s="99" t="s">
        <v>727</v>
      </c>
      <c r="E227" s="99" t="s">
        <v>729</v>
      </c>
      <c r="F227" s="99">
        <v>2900</v>
      </c>
      <c r="G227" s="99" t="s">
        <v>461</v>
      </c>
      <c r="H227" s="99" t="s">
        <v>1435</v>
      </c>
      <c r="I227" s="99" t="s">
        <v>450</v>
      </c>
      <c r="J227" s="99" t="s">
        <v>451</v>
      </c>
      <c r="K227" s="99" t="s">
        <v>452</v>
      </c>
      <c r="L227" s="98">
        <v>7451</v>
      </c>
      <c r="M227" s="98">
        <v>7468</v>
      </c>
      <c r="N227" s="98">
        <v>7484</v>
      </c>
      <c r="O227" s="98">
        <v>7501</v>
      </c>
      <c r="P227" s="98">
        <v>112383</v>
      </c>
      <c r="Q227" s="98">
        <v>112524</v>
      </c>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row>
    <row r="228" spans="1:52" ht="14.4" x14ac:dyDescent="0.3">
      <c r="A228" s="98">
        <v>121814</v>
      </c>
      <c r="B228" s="99" t="s">
        <v>189</v>
      </c>
      <c r="C228" s="98">
        <v>6965</v>
      </c>
      <c r="D228" s="99" t="s">
        <v>633</v>
      </c>
      <c r="E228" s="99" t="s">
        <v>716</v>
      </c>
      <c r="F228" s="99">
        <v>2180</v>
      </c>
      <c r="G228" s="99" t="s">
        <v>456</v>
      </c>
      <c r="H228" s="99" t="s">
        <v>1436</v>
      </c>
      <c r="I228" s="99" t="s">
        <v>485</v>
      </c>
      <c r="J228" s="99" t="s">
        <v>486</v>
      </c>
      <c r="K228" s="99" t="s">
        <v>487</v>
      </c>
      <c r="L228" s="98">
        <v>6965</v>
      </c>
      <c r="M228" s="98">
        <v>6973</v>
      </c>
      <c r="N228" s="98">
        <v>6981</v>
      </c>
      <c r="O228" s="98">
        <v>7005</v>
      </c>
      <c r="P228" s="98">
        <v>7013</v>
      </c>
      <c r="Q228" s="98">
        <v>7062</v>
      </c>
      <c r="R228" s="100">
        <v>7104</v>
      </c>
      <c r="S228" s="100">
        <v>102641</v>
      </c>
      <c r="T228" s="100">
        <v>106195</v>
      </c>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row>
    <row r="229" spans="1:52" ht="14.4" x14ac:dyDescent="0.3">
      <c r="A229" s="98">
        <v>121822</v>
      </c>
      <c r="B229" s="99" t="s">
        <v>190</v>
      </c>
      <c r="C229" s="98">
        <v>9639</v>
      </c>
      <c r="D229" s="99" t="s">
        <v>809</v>
      </c>
      <c r="E229" s="99" t="s">
        <v>808</v>
      </c>
      <c r="F229" s="99">
        <v>2500</v>
      </c>
      <c r="G229" s="99" t="s">
        <v>480</v>
      </c>
      <c r="H229" s="99" t="s">
        <v>1437</v>
      </c>
      <c r="I229" s="99" t="s">
        <v>485</v>
      </c>
      <c r="J229" s="99" t="s">
        <v>486</v>
      </c>
      <c r="K229" s="99" t="s">
        <v>487</v>
      </c>
      <c r="L229" s="98">
        <v>9597</v>
      </c>
      <c r="M229" s="98">
        <v>9605</v>
      </c>
      <c r="N229" s="98">
        <v>9639</v>
      </c>
      <c r="O229" s="98">
        <v>9647</v>
      </c>
      <c r="P229" s="98">
        <v>9654</v>
      </c>
      <c r="Q229" s="98">
        <v>9662</v>
      </c>
      <c r="R229" s="98">
        <v>54692</v>
      </c>
      <c r="S229" s="98"/>
      <c r="T229" s="98"/>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row>
    <row r="230" spans="1:52" ht="14.4" x14ac:dyDescent="0.3">
      <c r="A230" s="98">
        <v>121831</v>
      </c>
      <c r="B230" s="99" t="s">
        <v>346</v>
      </c>
      <c r="C230" s="98">
        <v>129643</v>
      </c>
      <c r="D230" s="99" t="s">
        <v>1582</v>
      </c>
      <c r="E230" s="99" t="s">
        <v>1217</v>
      </c>
      <c r="F230" s="99">
        <v>2100</v>
      </c>
      <c r="G230" s="99" t="s">
        <v>720</v>
      </c>
      <c r="H230" s="99" t="s">
        <v>1438</v>
      </c>
      <c r="I230" s="99" t="s">
        <v>450</v>
      </c>
      <c r="J230" s="99" t="s">
        <v>451</v>
      </c>
      <c r="K230" s="99" t="s">
        <v>452</v>
      </c>
      <c r="L230" s="98">
        <v>406</v>
      </c>
      <c r="M230" s="98">
        <v>422</v>
      </c>
      <c r="N230" s="98">
        <v>463</v>
      </c>
      <c r="O230" s="98">
        <v>554</v>
      </c>
      <c r="P230" s="98">
        <v>55889</v>
      </c>
      <c r="Q230" s="98">
        <v>106088</v>
      </c>
      <c r="R230" s="98">
        <v>128827</v>
      </c>
      <c r="S230" s="98">
        <v>129643</v>
      </c>
      <c r="T230" s="100">
        <v>129651</v>
      </c>
      <c r="U230" s="100">
        <v>130088</v>
      </c>
      <c r="V230" s="100">
        <v>132324</v>
      </c>
      <c r="W230" s="100">
        <v>144733</v>
      </c>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row>
    <row r="231" spans="1:52" ht="14.4" x14ac:dyDescent="0.3">
      <c r="A231" s="98">
        <v>121848</v>
      </c>
      <c r="B231" s="99" t="s">
        <v>191</v>
      </c>
      <c r="C231" s="98">
        <v>10331</v>
      </c>
      <c r="D231" s="99" t="s">
        <v>697</v>
      </c>
      <c r="E231" s="99" t="s">
        <v>825</v>
      </c>
      <c r="F231" s="99">
        <v>2600</v>
      </c>
      <c r="G231" s="99" t="s">
        <v>824</v>
      </c>
      <c r="H231" s="99" t="s">
        <v>1439</v>
      </c>
      <c r="I231" s="99" t="s">
        <v>450</v>
      </c>
      <c r="J231" s="99" t="s">
        <v>451</v>
      </c>
      <c r="K231" s="99" t="s">
        <v>452</v>
      </c>
      <c r="L231" s="98">
        <v>6049</v>
      </c>
      <c r="M231" s="98">
        <v>6056</v>
      </c>
      <c r="N231" s="98">
        <v>6064</v>
      </c>
      <c r="O231" s="98">
        <v>6627</v>
      </c>
      <c r="P231" s="98">
        <v>8061</v>
      </c>
      <c r="Q231" s="98">
        <v>10314</v>
      </c>
      <c r="R231" s="98">
        <v>10322</v>
      </c>
      <c r="S231" s="98">
        <v>10331</v>
      </c>
      <c r="T231" s="98"/>
      <c r="U231" s="98"/>
      <c r="V231" s="98"/>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row>
    <row r="232" spans="1:52" ht="14.4" x14ac:dyDescent="0.3">
      <c r="A232" s="98">
        <v>121863</v>
      </c>
      <c r="B232" s="99" t="s">
        <v>192</v>
      </c>
      <c r="C232" s="98">
        <v>12849</v>
      </c>
      <c r="D232" s="99" t="s">
        <v>659</v>
      </c>
      <c r="E232" s="99" t="s">
        <v>894</v>
      </c>
      <c r="F232" s="99">
        <v>2235</v>
      </c>
      <c r="G232" s="99" t="s">
        <v>895</v>
      </c>
      <c r="H232" s="99" t="s">
        <v>1440</v>
      </c>
      <c r="I232" s="99" t="s">
        <v>1620</v>
      </c>
      <c r="J232" s="99" t="s">
        <v>1621</v>
      </c>
      <c r="K232" s="99" t="s">
        <v>1622</v>
      </c>
      <c r="L232" s="98">
        <v>10181</v>
      </c>
      <c r="M232" s="98">
        <v>12823</v>
      </c>
      <c r="N232" s="98">
        <v>12849</v>
      </c>
      <c r="O232" s="98">
        <v>12922</v>
      </c>
      <c r="P232" s="98">
        <v>12948</v>
      </c>
      <c r="Q232" s="98">
        <v>12955</v>
      </c>
      <c r="R232" s="98">
        <v>107953</v>
      </c>
      <c r="S232" s="98">
        <v>143602</v>
      </c>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row>
    <row r="233" spans="1:52" ht="14.4" x14ac:dyDescent="0.3">
      <c r="A233" s="98">
        <v>121871</v>
      </c>
      <c r="B233" s="99" t="s">
        <v>193</v>
      </c>
      <c r="C233" s="98">
        <v>8615</v>
      </c>
      <c r="D233" s="99" t="s">
        <v>766</v>
      </c>
      <c r="E233" s="99" t="s">
        <v>768</v>
      </c>
      <c r="F233" s="99">
        <v>2300</v>
      </c>
      <c r="G233" s="99" t="s">
        <v>472</v>
      </c>
      <c r="H233" s="99" t="s">
        <v>1441</v>
      </c>
      <c r="I233" s="99" t="s">
        <v>1620</v>
      </c>
      <c r="J233" s="99" t="s">
        <v>1621</v>
      </c>
      <c r="K233" s="99" t="s">
        <v>1622</v>
      </c>
      <c r="L233" s="98">
        <v>8565</v>
      </c>
      <c r="M233" s="98">
        <v>8573</v>
      </c>
      <c r="N233" s="98">
        <v>8615</v>
      </c>
      <c r="O233" s="98"/>
      <c r="P233" s="98"/>
      <c r="Q233" s="98"/>
      <c r="R233" s="98"/>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row>
    <row r="234" spans="1:52" ht="14.4" x14ac:dyDescent="0.3">
      <c r="A234" s="98">
        <v>121913</v>
      </c>
      <c r="B234" s="99" t="s">
        <v>194</v>
      </c>
      <c r="C234" s="98">
        <v>3871</v>
      </c>
      <c r="D234" s="99" t="s">
        <v>613</v>
      </c>
      <c r="E234" s="99" t="s">
        <v>614</v>
      </c>
      <c r="F234" s="99">
        <v>1030</v>
      </c>
      <c r="G234" s="99" t="s">
        <v>419</v>
      </c>
      <c r="H234" s="99" t="s">
        <v>1442</v>
      </c>
      <c r="I234" s="99" t="s">
        <v>438</v>
      </c>
      <c r="J234" s="99" t="s">
        <v>439</v>
      </c>
      <c r="K234" s="99" t="s">
        <v>440</v>
      </c>
      <c r="L234" s="98">
        <v>3848</v>
      </c>
      <c r="M234" s="98">
        <v>3863</v>
      </c>
      <c r="N234" s="98">
        <v>3871</v>
      </c>
      <c r="O234" s="98">
        <v>3889</v>
      </c>
      <c r="P234" s="98">
        <v>4226</v>
      </c>
      <c r="Q234" s="100">
        <v>4317</v>
      </c>
      <c r="R234" s="100">
        <v>4333</v>
      </c>
      <c r="S234" s="100">
        <v>4341</v>
      </c>
      <c r="T234" s="100">
        <v>4358</v>
      </c>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row>
    <row r="235" spans="1:52" ht="14.4" x14ac:dyDescent="0.3">
      <c r="A235" s="98">
        <v>121921</v>
      </c>
      <c r="B235" s="99" t="s">
        <v>347</v>
      </c>
      <c r="C235" s="98">
        <v>5785</v>
      </c>
      <c r="D235" s="99" t="s">
        <v>685</v>
      </c>
      <c r="E235" s="99" t="s">
        <v>687</v>
      </c>
      <c r="F235" s="99">
        <v>1745</v>
      </c>
      <c r="G235" s="99" t="s">
        <v>444</v>
      </c>
      <c r="H235" s="99" t="s">
        <v>1443</v>
      </c>
      <c r="I235" s="99" t="s">
        <v>485</v>
      </c>
      <c r="J235" s="99" t="s">
        <v>486</v>
      </c>
      <c r="K235" s="99" t="s">
        <v>487</v>
      </c>
      <c r="L235" s="98">
        <v>5711</v>
      </c>
      <c r="M235" s="98">
        <v>5744</v>
      </c>
      <c r="N235" s="98">
        <v>5785</v>
      </c>
      <c r="O235" s="98">
        <v>23051</v>
      </c>
      <c r="P235" s="98">
        <v>23069</v>
      </c>
      <c r="Q235" s="98">
        <v>132233</v>
      </c>
      <c r="R235" s="98"/>
      <c r="S235" s="98"/>
      <c r="T235" s="98"/>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row>
    <row r="236" spans="1:52" ht="14.4" x14ac:dyDescent="0.3">
      <c r="A236" s="98">
        <v>121939</v>
      </c>
      <c r="B236" s="99" t="s">
        <v>348</v>
      </c>
      <c r="C236" s="98">
        <v>12393</v>
      </c>
      <c r="D236" s="99" t="s">
        <v>876</v>
      </c>
      <c r="E236" s="99" t="s">
        <v>878</v>
      </c>
      <c r="F236" s="99">
        <v>3001</v>
      </c>
      <c r="G236" s="99" t="s">
        <v>503</v>
      </c>
      <c r="H236" s="99" t="s">
        <v>1444</v>
      </c>
      <c r="I236" s="99" t="s">
        <v>438</v>
      </c>
      <c r="J236" s="99" t="s">
        <v>439</v>
      </c>
      <c r="K236" s="99" t="s">
        <v>440</v>
      </c>
      <c r="L236" s="98">
        <v>12286</v>
      </c>
      <c r="M236" s="98">
        <v>12393</v>
      </c>
      <c r="N236" s="98">
        <v>12534</v>
      </c>
      <c r="O236" s="98">
        <v>46292</v>
      </c>
      <c r="P236" s="98">
        <v>105742</v>
      </c>
      <c r="Q236" s="98">
        <v>111047</v>
      </c>
      <c r="R236" s="98"/>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row>
    <row r="237" spans="1:52" ht="14.4" x14ac:dyDescent="0.3">
      <c r="A237" s="98">
        <v>121947</v>
      </c>
      <c r="B237" s="99" t="s">
        <v>241</v>
      </c>
      <c r="C237" s="98">
        <v>129056</v>
      </c>
      <c r="D237" s="99" t="s">
        <v>1613</v>
      </c>
      <c r="E237" s="99" t="s">
        <v>1218</v>
      </c>
      <c r="F237" s="99">
        <v>1800</v>
      </c>
      <c r="G237" s="99" t="s">
        <v>441</v>
      </c>
      <c r="H237" s="99" t="s">
        <v>1445</v>
      </c>
      <c r="I237" s="99" t="s">
        <v>438</v>
      </c>
      <c r="J237" s="99" t="s">
        <v>439</v>
      </c>
      <c r="K237" s="99" t="s">
        <v>440</v>
      </c>
      <c r="L237" s="98">
        <v>307</v>
      </c>
      <c r="M237" s="98">
        <v>315</v>
      </c>
      <c r="N237" s="98">
        <v>323</v>
      </c>
      <c r="O237" s="98">
        <v>331</v>
      </c>
      <c r="P237" s="98">
        <v>364</v>
      </c>
      <c r="Q237" s="98">
        <v>372</v>
      </c>
      <c r="R237" s="100">
        <v>381</v>
      </c>
      <c r="S237" s="100">
        <v>398</v>
      </c>
      <c r="T237" s="100">
        <v>1172</v>
      </c>
      <c r="U237" s="100">
        <v>1181</v>
      </c>
      <c r="V237" s="100">
        <v>5868</v>
      </c>
      <c r="W237" s="100">
        <v>129056</v>
      </c>
      <c r="X237" s="100">
        <v>143529</v>
      </c>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row>
    <row r="238" spans="1:52" ht="14.4" x14ac:dyDescent="0.3">
      <c r="A238" s="98">
        <v>121954</v>
      </c>
      <c r="B238" s="99" t="s">
        <v>195</v>
      </c>
      <c r="C238" s="98">
        <v>11941</v>
      </c>
      <c r="D238" s="99" t="s">
        <v>822</v>
      </c>
      <c r="E238" s="99" t="s">
        <v>864</v>
      </c>
      <c r="F238" s="99">
        <v>2223</v>
      </c>
      <c r="G238" s="99" t="s">
        <v>865</v>
      </c>
      <c r="H238" s="99" t="s">
        <v>1446</v>
      </c>
      <c r="I238" s="99" t="s">
        <v>450</v>
      </c>
      <c r="J238" s="99" t="s">
        <v>451</v>
      </c>
      <c r="K238" s="99" t="s">
        <v>452</v>
      </c>
      <c r="L238" s="98">
        <v>10108</v>
      </c>
      <c r="M238" s="98">
        <v>11841</v>
      </c>
      <c r="N238" s="98">
        <v>11882</v>
      </c>
      <c r="O238" s="98">
        <v>11916</v>
      </c>
      <c r="P238" s="98">
        <v>11941</v>
      </c>
      <c r="Q238" s="98">
        <v>12633</v>
      </c>
      <c r="R238" s="98">
        <v>12658</v>
      </c>
      <c r="S238" s="98">
        <v>12682</v>
      </c>
      <c r="T238" s="98">
        <v>12807</v>
      </c>
      <c r="U238" s="98">
        <v>12815</v>
      </c>
      <c r="V238" s="98">
        <v>13078</v>
      </c>
      <c r="W238" s="100">
        <v>13185</v>
      </c>
      <c r="X238" s="100">
        <v>13193</v>
      </c>
      <c r="Y238" s="100">
        <v>13251</v>
      </c>
      <c r="Z238" s="100">
        <v>13391</v>
      </c>
      <c r="AA238" s="100">
        <v>125484</v>
      </c>
      <c r="AB238" s="100">
        <v>137463</v>
      </c>
      <c r="AC238" s="100">
        <v>144675</v>
      </c>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row>
    <row r="239" spans="1:52" ht="14.4" x14ac:dyDescent="0.3">
      <c r="A239" s="98">
        <v>121962</v>
      </c>
      <c r="B239" s="99" t="s">
        <v>403</v>
      </c>
      <c r="C239" s="98">
        <v>4465</v>
      </c>
      <c r="D239" s="99" t="s">
        <v>631</v>
      </c>
      <c r="E239" s="99" t="s">
        <v>632</v>
      </c>
      <c r="F239" s="99">
        <v>1180</v>
      </c>
      <c r="G239" s="99" t="s">
        <v>429</v>
      </c>
      <c r="H239" s="99" t="s">
        <v>1447</v>
      </c>
      <c r="I239" s="99" t="s">
        <v>438</v>
      </c>
      <c r="J239" s="99" t="s">
        <v>439</v>
      </c>
      <c r="K239" s="99" t="s">
        <v>440</v>
      </c>
      <c r="L239" s="98">
        <v>4416</v>
      </c>
      <c r="M239" s="98">
        <v>4432</v>
      </c>
      <c r="N239" s="98">
        <v>4441</v>
      </c>
      <c r="O239" s="98">
        <v>4457</v>
      </c>
      <c r="P239" s="98">
        <v>4465</v>
      </c>
      <c r="Q239" s="98">
        <v>4473</v>
      </c>
      <c r="R239" s="98">
        <v>4481</v>
      </c>
      <c r="S239" s="98">
        <v>4523</v>
      </c>
      <c r="T239" s="98">
        <v>4564</v>
      </c>
      <c r="U239" s="98">
        <v>132365</v>
      </c>
      <c r="V239" s="98"/>
      <c r="W239" s="98"/>
      <c r="X239" s="98"/>
      <c r="Y239" s="98"/>
      <c r="Z239" s="98"/>
      <c r="AA239" s="98"/>
      <c r="AB239" s="98"/>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row>
    <row r="240" spans="1:52" ht="14.4" x14ac:dyDescent="0.3">
      <c r="A240" s="98">
        <v>121971</v>
      </c>
      <c r="B240" s="99" t="s">
        <v>196</v>
      </c>
      <c r="C240" s="98">
        <v>13731</v>
      </c>
      <c r="D240" s="99" t="s">
        <v>633</v>
      </c>
      <c r="E240" s="99" t="s">
        <v>905</v>
      </c>
      <c r="F240" s="99">
        <v>3440</v>
      </c>
      <c r="G240" s="99" t="s">
        <v>906</v>
      </c>
      <c r="H240" s="99" t="s">
        <v>1448</v>
      </c>
      <c r="I240" s="99" t="s">
        <v>438</v>
      </c>
      <c r="J240" s="99" t="s">
        <v>439</v>
      </c>
      <c r="K240" s="99" t="s">
        <v>440</v>
      </c>
      <c r="L240" s="98">
        <v>13482</v>
      </c>
      <c r="M240" s="98">
        <v>13532</v>
      </c>
      <c r="N240" s="98">
        <v>13541</v>
      </c>
      <c r="O240" s="98">
        <v>13573</v>
      </c>
      <c r="P240" s="98">
        <v>13731</v>
      </c>
      <c r="Q240" s="98">
        <v>13748</v>
      </c>
      <c r="R240" s="98">
        <v>13763</v>
      </c>
      <c r="S240" s="98">
        <v>13771</v>
      </c>
      <c r="T240" s="98">
        <v>13797</v>
      </c>
      <c r="U240" s="98"/>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row>
    <row r="241" spans="1:52" ht="14.4" x14ac:dyDescent="0.3">
      <c r="A241" s="98">
        <v>121988</v>
      </c>
      <c r="B241" s="99" t="s">
        <v>349</v>
      </c>
      <c r="C241" s="98">
        <v>3681</v>
      </c>
      <c r="D241" s="99" t="s">
        <v>606</v>
      </c>
      <c r="E241" s="99" t="s">
        <v>607</v>
      </c>
      <c r="F241" s="99">
        <v>1000</v>
      </c>
      <c r="G241" s="99" t="s">
        <v>414</v>
      </c>
      <c r="H241" s="99" t="s">
        <v>1449</v>
      </c>
      <c r="I241" s="99" t="s">
        <v>438</v>
      </c>
      <c r="J241" s="99" t="s">
        <v>439</v>
      </c>
      <c r="K241" s="99" t="s">
        <v>440</v>
      </c>
      <c r="L241" s="98">
        <v>3681</v>
      </c>
      <c r="M241" s="98">
        <v>3699</v>
      </c>
      <c r="N241" s="98">
        <v>3855</v>
      </c>
      <c r="O241" s="98">
        <v>3905</v>
      </c>
      <c r="P241" s="98">
        <v>3921</v>
      </c>
      <c r="Q241" s="98">
        <v>4101</v>
      </c>
      <c r="R241" s="98">
        <v>4127</v>
      </c>
      <c r="S241" s="98">
        <v>4176</v>
      </c>
      <c r="T241" s="98">
        <v>4382</v>
      </c>
      <c r="U241" s="98">
        <v>4391</v>
      </c>
      <c r="V241" s="100">
        <v>4556</v>
      </c>
      <c r="W241" s="100">
        <v>146175</v>
      </c>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row>
    <row r="242" spans="1:52" ht="14.4" x14ac:dyDescent="0.3">
      <c r="A242" s="98">
        <v>122002</v>
      </c>
      <c r="B242" s="99" t="s">
        <v>229</v>
      </c>
      <c r="C242" s="98">
        <v>4259</v>
      </c>
      <c r="D242" s="99" t="s">
        <v>615</v>
      </c>
      <c r="E242" s="99" t="s">
        <v>630</v>
      </c>
      <c r="F242" s="99">
        <v>1090</v>
      </c>
      <c r="G242" s="99" t="s">
        <v>629</v>
      </c>
      <c r="H242" s="99" t="s">
        <v>1450</v>
      </c>
      <c r="I242" s="99" t="s">
        <v>438</v>
      </c>
      <c r="J242" s="99" t="s">
        <v>439</v>
      </c>
      <c r="K242" s="99" t="s">
        <v>440</v>
      </c>
      <c r="L242" s="98">
        <v>3897</v>
      </c>
      <c r="M242" s="98">
        <v>4259</v>
      </c>
      <c r="N242" s="98">
        <v>4275</v>
      </c>
      <c r="O242" s="98">
        <v>4283</v>
      </c>
      <c r="P242" s="98">
        <v>4374</v>
      </c>
      <c r="Q242" s="98">
        <v>4549</v>
      </c>
      <c r="R242" s="98">
        <v>137794</v>
      </c>
      <c r="S242" s="98">
        <v>143834</v>
      </c>
      <c r="T242" s="98"/>
      <c r="U242" s="98"/>
      <c r="V242" s="98"/>
      <c r="W242" s="98"/>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row>
    <row r="243" spans="1:52" ht="14.4" x14ac:dyDescent="0.3">
      <c r="A243" s="98">
        <v>122036</v>
      </c>
      <c r="B243" s="99" t="s">
        <v>350</v>
      </c>
      <c r="C243" s="98">
        <v>5694</v>
      </c>
      <c r="D243" s="99" t="s">
        <v>680</v>
      </c>
      <c r="E243" s="99" t="s">
        <v>681</v>
      </c>
      <c r="F243" s="99">
        <v>1861</v>
      </c>
      <c r="G243" s="99" t="s">
        <v>443</v>
      </c>
      <c r="H243" s="99" t="s">
        <v>1451</v>
      </c>
      <c r="I243" s="99" t="s">
        <v>438</v>
      </c>
      <c r="J243" s="99" t="s">
        <v>439</v>
      </c>
      <c r="K243" s="99" t="s">
        <v>440</v>
      </c>
      <c r="L243" s="98">
        <v>5661</v>
      </c>
      <c r="M243" s="98">
        <v>5686</v>
      </c>
      <c r="N243" s="98">
        <v>5694</v>
      </c>
      <c r="O243" s="98">
        <v>107557</v>
      </c>
      <c r="P243" s="98"/>
      <c r="Q243" s="98"/>
      <c r="R243" s="98"/>
      <c r="S243" s="98"/>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row>
    <row r="244" spans="1:52" ht="14.4" x14ac:dyDescent="0.3">
      <c r="A244" s="98">
        <v>122044</v>
      </c>
      <c r="B244" s="99" t="s">
        <v>197</v>
      </c>
      <c r="C244" s="98">
        <v>4903</v>
      </c>
      <c r="D244" s="99" t="s">
        <v>651</v>
      </c>
      <c r="E244" s="99" t="s">
        <v>652</v>
      </c>
      <c r="F244" s="99">
        <v>1652</v>
      </c>
      <c r="G244" s="99" t="s">
        <v>653</v>
      </c>
      <c r="H244" s="99" t="s">
        <v>1452</v>
      </c>
      <c r="I244" s="99" t="s">
        <v>438</v>
      </c>
      <c r="J244" s="99" t="s">
        <v>439</v>
      </c>
      <c r="K244" s="99" t="s">
        <v>440</v>
      </c>
      <c r="L244" s="98">
        <v>4903</v>
      </c>
      <c r="M244" s="98">
        <v>4911</v>
      </c>
      <c r="N244" s="98">
        <v>55905</v>
      </c>
      <c r="O244" s="98"/>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row>
    <row r="245" spans="1:52" ht="14.4" x14ac:dyDescent="0.3">
      <c r="A245" s="98">
        <v>122051</v>
      </c>
      <c r="B245" s="99" t="s">
        <v>198</v>
      </c>
      <c r="C245" s="98">
        <v>4135</v>
      </c>
      <c r="D245" s="99" t="s">
        <v>611</v>
      </c>
      <c r="E245" s="99" t="s">
        <v>625</v>
      </c>
      <c r="F245" s="99">
        <v>1080</v>
      </c>
      <c r="G245" s="99" t="s">
        <v>423</v>
      </c>
      <c r="H245" s="99" t="s">
        <v>1453</v>
      </c>
      <c r="I245" s="99" t="s">
        <v>438</v>
      </c>
      <c r="J245" s="99" t="s">
        <v>439</v>
      </c>
      <c r="K245" s="99" t="s">
        <v>440</v>
      </c>
      <c r="L245" s="98">
        <v>3798</v>
      </c>
      <c r="M245" s="98">
        <v>4135</v>
      </c>
      <c r="N245" s="98">
        <v>4143</v>
      </c>
      <c r="O245" s="98">
        <v>4151</v>
      </c>
      <c r="P245" s="100">
        <v>129023</v>
      </c>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row>
    <row r="246" spans="1:52" ht="14.4" x14ac:dyDescent="0.3">
      <c r="A246" s="98">
        <v>122069</v>
      </c>
      <c r="B246" s="99" t="s">
        <v>351</v>
      </c>
      <c r="C246" s="98">
        <v>42</v>
      </c>
      <c r="D246" s="99" t="s">
        <v>1583</v>
      </c>
      <c r="E246" s="99" t="s">
        <v>420</v>
      </c>
      <c r="F246" s="99">
        <v>1040</v>
      </c>
      <c r="G246" s="99" t="s">
        <v>421</v>
      </c>
      <c r="H246" s="99" t="s">
        <v>1454</v>
      </c>
      <c r="I246" s="99" t="s">
        <v>438</v>
      </c>
      <c r="J246" s="99" t="s">
        <v>439</v>
      </c>
      <c r="K246" s="99" t="s">
        <v>440</v>
      </c>
      <c r="L246" s="98">
        <v>18</v>
      </c>
      <c r="M246" s="98">
        <v>42</v>
      </c>
      <c r="N246" s="98">
        <v>67</v>
      </c>
      <c r="O246" s="98">
        <v>141</v>
      </c>
      <c r="P246" s="98">
        <v>158</v>
      </c>
      <c r="Q246" s="100">
        <v>166</v>
      </c>
      <c r="R246" s="100">
        <v>174</v>
      </c>
      <c r="S246" s="100">
        <v>108051</v>
      </c>
      <c r="T246" s="100">
        <v>129072</v>
      </c>
      <c r="U246" s="100">
        <v>131524</v>
      </c>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row>
    <row r="247" spans="1:52" ht="14.4" x14ac:dyDescent="0.3">
      <c r="A247" s="98">
        <v>122077</v>
      </c>
      <c r="B247" s="99" t="s">
        <v>199</v>
      </c>
      <c r="C247" s="98">
        <v>10116</v>
      </c>
      <c r="D247" s="99" t="s">
        <v>819</v>
      </c>
      <c r="E247" s="99" t="s">
        <v>823</v>
      </c>
      <c r="F247" s="99">
        <v>2860</v>
      </c>
      <c r="G247" s="99" t="s">
        <v>821</v>
      </c>
      <c r="H247" s="99" t="s">
        <v>1455</v>
      </c>
      <c r="I247" s="99" t="s">
        <v>485</v>
      </c>
      <c r="J247" s="99" t="s">
        <v>486</v>
      </c>
      <c r="K247" s="99" t="s">
        <v>487</v>
      </c>
      <c r="L247" s="98">
        <v>10033</v>
      </c>
      <c r="M247" s="98">
        <v>10041</v>
      </c>
      <c r="N247" s="98">
        <v>10058</v>
      </c>
      <c r="O247" s="98">
        <v>10116</v>
      </c>
      <c r="P247" s="98">
        <v>10124</v>
      </c>
      <c r="Q247" s="98">
        <v>10132</v>
      </c>
      <c r="R247" s="98">
        <v>11809</v>
      </c>
      <c r="S247" s="98">
        <v>11817</v>
      </c>
      <c r="T247" s="98"/>
      <c r="U247" s="98"/>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row>
    <row r="248" spans="1:52" ht="14.4" x14ac:dyDescent="0.3">
      <c r="A248" s="98">
        <v>122085</v>
      </c>
      <c r="B248" s="99" t="s">
        <v>1456</v>
      </c>
      <c r="C248" s="98">
        <v>9035</v>
      </c>
      <c r="D248" s="99" t="s">
        <v>788</v>
      </c>
      <c r="E248" s="99" t="s">
        <v>789</v>
      </c>
      <c r="F248" s="99">
        <v>2400</v>
      </c>
      <c r="G248" s="99" t="s">
        <v>476</v>
      </c>
      <c r="H248" s="99" t="s">
        <v>1457</v>
      </c>
      <c r="I248" s="99" t="s">
        <v>1620</v>
      </c>
      <c r="J248" s="99" t="s">
        <v>1621</v>
      </c>
      <c r="K248" s="99" t="s">
        <v>1622</v>
      </c>
      <c r="L248" s="98">
        <v>9001</v>
      </c>
      <c r="M248" s="98">
        <v>9019</v>
      </c>
      <c r="N248" s="98">
        <v>9027</v>
      </c>
      <c r="O248" s="98">
        <v>9035</v>
      </c>
      <c r="P248" s="98">
        <v>9043</v>
      </c>
      <c r="Q248" s="98">
        <v>9068</v>
      </c>
      <c r="R248" s="98">
        <v>9084</v>
      </c>
      <c r="S248" s="98">
        <v>9563</v>
      </c>
      <c r="T248" s="100">
        <v>9589</v>
      </c>
      <c r="U248" s="100">
        <v>115981</v>
      </c>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row>
    <row r="249" spans="1:52" ht="14.4" x14ac:dyDescent="0.3">
      <c r="A249" s="98">
        <v>122093</v>
      </c>
      <c r="B249" s="99" t="s">
        <v>352</v>
      </c>
      <c r="C249" s="98">
        <v>497</v>
      </c>
      <c r="D249" s="99" t="s">
        <v>462</v>
      </c>
      <c r="E249" s="99" t="s">
        <v>463</v>
      </c>
      <c r="F249" s="99">
        <v>2930</v>
      </c>
      <c r="G249" s="99" t="s">
        <v>464</v>
      </c>
      <c r="H249" s="99" t="s">
        <v>1458</v>
      </c>
      <c r="I249" s="99" t="s">
        <v>450</v>
      </c>
      <c r="J249" s="99" t="s">
        <v>451</v>
      </c>
      <c r="K249" s="99" t="s">
        <v>452</v>
      </c>
      <c r="L249" s="98">
        <v>471</v>
      </c>
      <c r="M249" s="98">
        <v>489</v>
      </c>
      <c r="N249" s="98">
        <v>497</v>
      </c>
      <c r="O249" s="98">
        <v>505</v>
      </c>
      <c r="P249" s="98">
        <v>513</v>
      </c>
      <c r="Q249" s="98">
        <v>571</v>
      </c>
      <c r="R249" s="98">
        <v>588</v>
      </c>
      <c r="S249" s="98">
        <v>133447</v>
      </c>
      <c r="T249" s="98">
        <v>133454</v>
      </c>
      <c r="U249" s="98"/>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row>
    <row r="250" spans="1:52" ht="14.4" x14ac:dyDescent="0.3">
      <c r="A250" s="98">
        <v>122101</v>
      </c>
      <c r="B250" s="99" t="s">
        <v>200</v>
      </c>
      <c r="C250" s="98">
        <v>125096</v>
      </c>
      <c r="D250" s="99" t="s">
        <v>790</v>
      </c>
      <c r="E250" s="99" t="s">
        <v>1198</v>
      </c>
      <c r="F250" s="99">
        <v>2200</v>
      </c>
      <c r="G250" s="99" t="s">
        <v>477</v>
      </c>
      <c r="H250" s="99" t="s">
        <v>1459</v>
      </c>
      <c r="I250" s="99" t="s">
        <v>1620</v>
      </c>
      <c r="J250" s="99" t="s">
        <v>1621</v>
      </c>
      <c r="K250" s="99" t="s">
        <v>1622</v>
      </c>
      <c r="L250" s="98">
        <v>9134</v>
      </c>
      <c r="M250" s="98">
        <v>46177</v>
      </c>
      <c r="N250" s="98">
        <v>117374</v>
      </c>
      <c r="O250" s="98">
        <v>118241</v>
      </c>
      <c r="P250" s="98">
        <v>125096</v>
      </c>
      <c r="Q250" s="98"/>
      <c r="R250" s="98"/>
      <c r="S250" s="98"/>
      <c r="T250" s="98"/>
      <c r="U250" s="98"/>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row>
    <row r="251" spans="1:52" ht="14.4" x14ac:dyDescent="0.3">
      <c r="A251" s="98">
        <v>122119</v>
      </c>
      <c r="B251" s="99" t="s">
        <v>242</v>
      </c>
      <c r="C251" s="98">
        <v>1099</v>
      </c>
      <c r="D251" s="99" t="s">
        <v>498</v>
      </c>
      <c r="E251" s="99" t="s">
        <v>499</v>
      </c>
      <c r="F251" s="99">
        <v>2580</v>
      </c>
      <c r="G251" s="99" t="s">
        <v>500</v>
      </c>
      <c r="H251" s="99" t="s">
        <v>1460</v>
      </c>
      <c r="I251" s="99" t="s">
        <v>450</v>
      </c>
      <c r="J251" s="99" t="s">
        <v>451</v>
      </c>
      <c r="K251" s="99" t="s">
        <v>452</v>
      </c>
      <c r="L251" s="98">
        <v>1081</v>
      </c>
      <c r="M251" s="98">
        <v>1099</v>
      </c>
      <c r="N251" s="98">
        <v>1107</v>
      </c>
      <c r="O251" s="98">
        <v>1198</v>
      </c>
      <c r="P251" s="98">
        <v>1206</v>
      </c>
      <c r="Q251" s="100">
        <v>11767</v>
      </c>
      <c r="R251" s="100">
        <v>104588</v>
      </c>
      <c r="S251" s="100">
        <v>110528</v>
      </c>
      <c r="T251" s="100">
        <v>133462</v>
      </c>
      <c r="U251" s="100">
        <v>138495</v>
      </c>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row>
    <row r="252" spans="1:52" ht="14.4" x14ac:dyDescent="0.3">
      <c r="A252" s="98">
        <v>122127</v>
      </c>
      <c r="B252" s="99" t="s">
        <v>353</v>
      </c>
      <c r="C252" s="98">
        <v>106138</v>
      </c>
      <c r="D252" s="99" t="s">
        <v>858</v>
      </c>
      <c r="E252" s="99" t="s">
        <v>1178</v>
      </c>
      <c r="F252" s="99">
        <v>8510</v>
      </c>
      <c r="G252" s="99" t="s">
        <v>549</v>
      </c>
      <c r="H252" s="99" t="s">
        <v>1461</v>
      </c>
      <c r="I252" s="99" t="s">
        <v>485</v>
      </c>
      <c r="J252" s="99" t="s">
        <v>486</v>
      </c>
      <c r="K252" s="99" t="s">
        <v>487</v>
      </c>
      <c r="L252" s="98">
        <v>11692</v>
      </c>
      <c r="M252" s="98">
        <v>14852</v>
      </c>
      <c r="N252" s="98">
        <v>21204</v>
      </c>
      <c r="O252" s="98">
        <v>62372</v>
      </c>
      <c r="P252" s="98">
        <v>106138</v>
      </c>
      <c r="Q252" s="98">
        <v>113662</v>
      </c>
      <c r="R252" s="98">
        <v>128249</v>
      </c>
      <c r="S252" s="98">
        <v>128876</v>
      </c>
      <c r="T252" s="98">
        <v>131516</v>
      </c>
      <c r="U252" s="98">
        <v>143883</v>
      </c>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row>
    <row r="253" spans="1:52" ht="14.4" x14ac:dyDescent="0.3">
      <c r="A253" s="98">
        <v>122135</v>
      </c>
      <c r="B253" s="99" t="s">
        <v>230</v>
      </c>
      <c r="C253" s="98">
        <v>19919</v>
      </c>
      <c r="D253" s="99" t="s">
        <v>1040</v>
      </c>
      <c r="E253" s="99" t="s">
        <v>1047</v>
      </c>
      <c r="F253" s="99">
        <v>8790</v>
      </c>
      <c r="G253" s="99" t="s">
        <v>556</v>
      </c>
      <c r="H253" s="99" t="s">
        <v>1462</v>
      </c>
      <c r="I253" s="99" t="s">
        <v>1617</v>
      </c>
      <c r="J253" s="99" t="s">
        <v>1618</v>
      </c>
      <c r="K253" s="99" t="s">
        <v>1619</v>
      </c>
      <c r="L253" s="98">
        <v>19695</v>
      </c>
      <c r="M253" s="98">
        <v>19703</v>
      </c>
      <c r="N253" s="98">
        <v>19919</v>
      </c>
      <c r="O253" s="98">
        <v>19927</v>
      </c>
      <c r="P253" s="98">
        <v>110461</v>
      </c>
      <c r="Q253" s="98"/>
      <c r="R253" s="98"/>
      <c r="S253" s="98"/>
      <c r="T253" s="98"/>
      <c r="U253" s="98"/>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row>
    <row r="254" spans="1:52" ht="14.4" x14ac:dyDescent="0.3">
      <c r="A254" s="98">
        <v>122143</v>
      </c>
      <c r="B254" s="99" t="s">
        <v>201</v>
      </c>
      <c r="C254" s="98">
        <v>105833</v>
      </c>
      <c r="D254" s="99" t="s">
        <v>672</v>
      </c>
      <c r="E254" s="99" t="s">
        <v>671</v>
      </c>
      <c r="F254" s="99">
        <v>1800</v>
      </c>
      <c r="G254" s="99" t="s">
        <v>441</v>
      </c>
      <c r="H254" s="99" t="s">
        <v>1463</v>
      </c>
      <c r="I254" s="99" t="s">
        <v>438</v>
      </c>
      <c r="J254" s="99" t="s">
        <v>439</v>
      </c>
      <c r="K254" s="99" t="s">
        <v>440</v>
      </c>
      <c r="L254" s="98">
        <v>5405</v>
      </c>
      <c r="M254" s="98">
        <v>5488</v>
      </c>
      <c r="N254" s="98">
        <v>5561</v>
      </c>
      <c r="O254" s="98">
        <v>61002</v>
      </c>
      <c r="P254" s="98">
        <v>105833</v>
      </c>
      <c r="Q254" s="100">
        <v>118547</v>
      </c>
      <c r="R254" s="100">
        <v>125501</v>
      </c>
      <c r="S254" s="100">
        <v>128471</v>
      </c>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c r="AX254" s="100"/>
      <c r="AY254" s="100"/>
      <c r="AZ254" s="100"/>
    </row>
    <row r="255" spans="1:52" ht="14.4" x14ac:dyDescent="0.3">
      <c r="A255" s="98">
        <v>122168</v>
      </c>
      <c r="B255" s="99" t="s">
        <v>202</v>
      </c>
      <c r="C255" s="98">
        <v>46631</v>
      </c>
      <c r="D255" s="99" t="s">
        <v>880</v>
      </c>
      <c r="E255" s="99" t="s">
        <v>1159</v>
      </c>
      <c r="F255" s="99">
        <v>3212</v>
      </c>
      <c r="G255" s="99" t="s">
        <v>1160</v>
      </c>
      <c r="H255" s="99" t="s">
        <v>1464</v>
      </c>
      <c r="I255" s="99" t="s">
        <v>438</v>
      </c>
      <c r="J255" s="99" t="s">
        <v>439</v>
      </c>
      <c r="K255" s="99" t="s">
        <v>440</v>
      </c>
      <c r="L255" s="98">
        <v>12451</v>
      </c>
      <c r="M255" s="98">
        <v>13581</v>
      </c>
      <c r="N255" s="98">
        <v>46631</v>
      </c>
      <c r="O255" s="98">
        <v>125682</v>
      </c>
      <c r="P255" s="98">
        <v>130914</v>
      </c>
      <c r="Q255" s="98"/>
      <c r="R255" s="98"/>
      <c r="S255" s="98"/>
      <c r="T255" s="98"/>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row>
    <row r="256" spans="1:52" ht="14.4" x14ac:dyDescent="0.3">
      <c r="A256" s="98">
        <v>122176</v>
      </c>
      <c r="B256" s="99" t="s">
        <v>203</v>
      </c>
      <c r="C256" s="98">
        <v>1305</v>
      </c>
      <c r="D256" s="99" t="s">
        <v>505</v>
      </c>
      <c r="E256" s="99" t="s">
        <v>507</v>
      </c>
      <c r="F256" s="99">
        <v>3290</v>
      </c>
      <c r="G256" s="99" t="s">
        <v>506</v>
      </c>
      <c r="H256" s="99" t="s">
        <v>1465</v>
      </c>
      <c r="I256" s="99" t="s">
        <v>438</v>
      </c>
      <c r="J256" s="99" t="s">
        <v>439</v>
      </c>
      <c r="K256" s="99" t="s">
        <v>440</v>
      </c>
      <c r="L256" s="98">
        <v>1255</v>
      </c>
      <c r="M256" s="98">
        <v>1263</v>
      </c>
      <c r="N256" s="98">
        <v>1271</v>
      </c>
      <c r="O256" s="98">
        <v>1289</v>
      </c>
      <c r="P256" s="98">
        <v>1297</v>
      </c>
      <c r="Q256" s="100">
        <v>1305</v>
      </c>
      <c r="R256" s="100">
        <v>1867</v>
      </c>
      <c r="S256" s="100">
        <v>1875</v>
      </c>
      <c r="T256" s="100">
        <v>1909</v>
      </c>
      <c r="U256" s="100">
        <v>129007</v>
      </c>
      <c r="V256" s="100"/>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c r="AX256" s="100"/>
      <c r="AY256" s="100"/>
      <c r="AZ256" s="100"/>
    </row>
    <row r="257" spans="1:52" ht="14.4" x14ac:dyDescent="0.3">
      <c r="A257" s="98">
        <v>122184</v>
      </c>
      <c r="B257" s="99" t="s">
        <v>204</v>
      </c>
      <c r="C257" s="98">
        <v>61961</v>
      </c>
      <c r="D257" s="99" t="s">
        <v>605</v>
      </c>
      <c r="E257" s="99" t="s">
        <v>1169</v>
      </c>
      <c r="F257" s="99">
        <v>1020</v>
      </c>
      <c r="G257" s="99" t="s">
        <v>418</v>
      </c>
      <c r="H257" s="99" t="s">
        <v>1466</v>
      </c>
      <c r="I257" s="99" t="s">
        <v>438</v>
      </c>
      <c r="J257" s="99" t="s">
        <v>439</v>
      </c>
      <c r="K257" s="99" t="s">
        <v>440</v>
      </c>
      <c r="L257" s="98">
        <v>3673</v>
      </c>
      <c r="M257" s="98">
        <v>3764</v>
      </c>
      <c r="N257" s="98">
        <v>3772</v>
      </c>
      <c r="O257" s="98">
        <v>3781</v>
      </c>
      <c r="P257" s="98">
        <v>4291</v>
      </c>
      <c r="Q257" s="98">
        <v>45922</v>
      </c>
      <c r="R257" s="98">
        <v>45931</v>
      </c>
      <c r="S257" s="98">
        <v>61961</v>
      </c>
      <c r="T257" s="98">
        <v>146159</v>
      </c>
      <c r="U257" s="98"/>
      <c r="V257" s="98"/>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row>
    <row r="258" spans="1:52" ht="14.4" x14ac:dyDescent="0.3">
      <c r="A258" s="98">
        <v>122192</v>
      </c>
      <c r="B258" s="99" t="s">
        <v>205</v>
      </c>
      <c r="C258" s="98">
        <v>5249</v>
      </c>
      <c r="D258" s="99" t="s">
        <v>641</v>
      </c>
      <c r="E258" s="99" t="s">
        <v>666</v>
      </c>
      <c r="F258" s="99">
        <v>1742</v>
      </c>
      <c r="G258" s="99" t="s">
        <v>665</v>
      </c>
      <c r="H258" s="99" t="s">
        <v>1467</v>
      </c>
      <c r="I258" s="99" t="s">
        <v>438</v>
      </c>
      <c r="J258" s="99" t="s">
        <v>439</v>
      </c>
      <c r="K258" s="99" t="s">
        <v>440</v>
      </c>
      <c r="L258" s="98">
        <v>4713</v>
      </c>
      <c r="M258" s="98">
        <v>4978</v>
      </c>
      <c r="N258" s="98">
        <v>4994</v>
      </c>
      <c r="O258" s="98">
        <v>5041</v>
      </c>
      <c r="P258" s="98">
        <v>5249</v>
      </c>
      <c r="Q258" s="98">
        <v>5306</v>
      </c>
      <c r="R258" s="98">
        <v>45351</v>
      </c>
      <c r="S258" s="98">
        <v>137679</v>
      </c>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100"/>
      <c r="AX258" s="100"/>
      <c r="AY258" s="100"/>
      <c r="AZ258" s="100"/>
    </row>
    <row r="259" spans="1:52" ht="14.4" x14ac:dyDescent="0.3">
      <c r="A259" s="98">
        <v>122218</v>
      </c>
      <c r="B259" s="99" t="s">
        <v>231</v>
      </c>
      <c r="C259" s="98">
        <v>5173</v>
      </c>
      <c r="D259" s="99" t="s">
        <v>658</v>
      </c>
      <c r="E259" s="99" t="s">
        <v>663</v>
      </c>
      <c r="F259" s="99">
        <v>1731</v>
      </c>
      <c r="G259" s="99" t="s">
        <v>664</v>
      </c>
      <c r="H259" s="99" t="s">
        <v>1468</v>
      </c>
      <c r="I259" s="99" t="s">
        <v>438</v>
      </c>
      <c r="J259" s="99" t="s">
        <v>439</v>
      </c>
      <c r="K259" s="99" t="s">
        <v>440</v>
      </c>
      <c r="L259" s="98">
        <v>5066</v>
      </c>
      <c r="M259" s="98">
        <v>5074</v>
      </c>
      <c r="N259" s="98">
        <v>5091</v>
      </c>
      <c r="O259" s="98">
        <v>5173</v>
      </c>
      <c r="P259" s="98">
        <v>5521</v>
      </c>
      <c r="Q259" s="98"/>
      <c r="R259" s="98"/>
      <c r="S259" s="98"/>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row>
    <row r="260" spans="1:52" ht="14.4" x14ac:dyDescent="0.3">
      <c r="A260" s="98">
        <v>122234</v>
      </c>
      <c r="B260" s="99" t="s">
        <v>0</v>
      </c>
      <c r="C260" s="98">
        <v>6023</v>
      </c>
      <c r="D260" s="99" t="s">
        <v>690</v>
      </c>
      <c r="E260" s="99" t="s">
        <v>695</v>
      </c>
      <c r="F260" s="99">
        <v>1560</v>
      </c>
      <c r="G260" s="99" t="s">
        <v>448</v>
      </c>
      <c r="H260" s="99" t="s">
        <v>1469</v>
      </c>
      <c r="I260" s="99" t="s">
        <v>438</v>
      </c>
      <c r="J260" s="99" t="s">
        <v>439</v>
      </c>
      <c r="K260" s="99" t="s">
        <v>440</v>
      </c>
      <c r="L260" s="98">
        <v>5819</v>
      </c>
      <c r="M260" s="98">
        <v>5827</v>
      </c>
      <c r="N260" s="98">
        <v>5835</v>
      </c>
      <c r="O260" s="98">
        <v>5959</v>
      </c>
      <c r="P260" s="98">
        <v>5983</v>
      </c>
      <c r="Q260" s="100">
        <v>6023</v>
      </c>
      <c r="R260" s="100">
        <v>112565</v>
      </c>
      <c r="S260" s="100">
        <v>127051</v>
      </c>
      <c r="T260" s="100">
        <v>127068</v>
      </c>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100"/>
      <c r="AX260" s="100"/>
      <c r="AY260" s="100"/>
      <c r="AZ260" s="100"/>
    </row>
    <row r="261" spans="1:52" ht="14.4" x14ac:dyDescent="0.3">
      <c r="A261" s="98">
        <v>122242</v>
      </c>
      <c r="B261" s="99" t="s">
        <v>354</v>
      </c>
      <c r="C261" s="98">
        <v>110452</v>
      </c>
      <c r="D261" s="99" t="s">
        <v>660</v>
      </c>
      <c r="E261" s="99" t="s">
        <v>1185</v>
      </c>
      <c r="F261" s="99">
        <v>1740</v>
      </c>
      <c r="G261" s="99" t="s">
        <v>435</v>
      </c>
      <c r="H261" s="99" t="s">
        <v>1470</v>
      </c>
      <c r="I261" s="99" t="s">
        <v>438</v>
      </c>
      <c r="J261" s="99" t="s">
        <v>439</v>
      </c>
      <c r="K261" s="99" t="s">
        <v>440</v>
      </c>
      <c r="L261" s="98">
        <v>5116</v>
      </c>
      <c r="M261" s="98">
        <v>5124</v>
      </c>
      <c r="N261" s="98">
        <v>5157</v>
      </c>
      <c r="O261" s="98">
        <v>5165</v>
      </c>
      <c r="P261" s="98">
        <v>5256</v>
      </c>
      <c r="Q261" s="98">
        <v>5264</v>
      </c>
      <c r="R261" s="98">
        <v>5281</v>
      </c>
      <c r="S261" s="98">
        <v>5322</v>
      </c>
      <c r="T261" s="98">
        <v>5348</v>
      </c>
      <c r="U261" s="100">
        <v>5355</v>
      </c>
      <c r="V261" s="100">
        <v>56077</v>
      </c>
      <c r="W261" s="100">
        <v>110452</v>
      </c>
      <c r="X261" s="100">
        <v>111955</v>
      </c>
      <c r="Y261" s="100">
        <v>115618</v>
      </c>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c r="AX261" s="100"/>
      <c r="AY261" s="100"/>
      <c r="AZ261" s="100"/>
    </row>
    <row r="262" spans="1:52" ht="14.4" x14ac:dyDescent="0.3">
      <c r="A262" s="98">
        <v>122259</v>
      </c>
      <c r="B262" s="99" t="s">
        <v>355</v>
      </c>
      <c r="C262" s="98">
        <v>11866</v>
      </c>
      <c r="D262" s="99" t="s">
        <v>861</v>
      </c>
      <c r="E262" s="99" t="s">
        <v>862</v>
      </c>
      <c r="F262" s="99">
        <v>3150</v>
      </c>
      <c r="G262" s="99" t="s">
        <v>860</v>
      </c>
      <c r="H262" s="99" t="s">
        <v>1471</v>
      </c>
      <c r="I262" s="99" t="s">
        <v>438</v>
      </c>
      <c r="J262" s="99" t="s">
        <v>439</v>
      </c>
      <c r="K262" s="99" t="s">
        <v>440</v>
      </c>
      <c r="L262" s="98">
        <v>11866</v>
      </c>
      <c r="M262" s="98">
        <v>12138</v>
      </c>
      <c r="N262" s="98">
        <v>12146</v>
      </c>
      <c r="O262" s="98">
        <v>12161</v>
      </c>
      <c r="P262" s="98">
        <v>12179</v>
      </c>
      <c r="Q262" s="98">
        <v>12187</v>
      </c>
      <c r="R262" s="98">
        <v>12328</v>
      </c>
      <c r="S262" s="98">
        <v>12732</v>
      </c>
      <c r="T262" s="98">
        <v>12757</v>
      </c>
      <c r="U262" s="98">
        <v>13037</v>
      </c>
      <c r="V262" s="98">
        <v>44693</v>
      </c>
      <c r="W262" s="98">
        <v>44801</v>
      </c>
      <c r="X262" s="98">
        <v>104241</v>
      </c>
      <c r="Y262" s="98">
        <v>128686</v>
      </c>
      <c r="Z262" s="98">
        <v>146209</v>
      </c>
      <c r="AA262" s="98"/>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row>
    <row r="263" spans="1:52" ht="14.4" x14ac:dyDescent="0.3">
      <c r="A263" s="98">
        <v>122283</v>
      </c>
      <c r="B263" s="99" t="s">
        <v>1</v>
      </c>
      <c r="C263" s="98">
        <v>15271</v>
      </c>
      <c r="D263" s="99" t="s">
        <v>945</v>
      </c>
      <c r="E263" s="99" t="s">
        <v>796</v>
      </c>
      <c r="F263" s="99">
        <v>3668</v>
      </c>
      <c r="G263" s="99" t="s">
        <v>946</v>
      </c>
      <c r="H263" s="99" t="s">
        <v>1641</v>
      </c>
      <c r="I263" s="99" t="s">
        <v>1620</v>
      </c>
      <c r="J263" s="99" t="s">
        <v>1621</v>
      </c>
      <c r="K263" s="99" t="s">
        <v>1622</v>
      </c>
      <c r="L263" s="98">
        <v>15008</v>
      </c>
      <c r="M263" s="98">
        <v>15107</v>
      </c>
      <c r="N263" s="98">
        <v>15131</v>
      </c>
      <c r="O263" s="98">
        <v>15149</v>
      </c>
      <c r="P263" s="98">
        <v>15156</v>
      </c>
      <c r="Q263" s="98">
        <v>15271</v>
      </c>
      <c r="R263" s="98"/>
      <c r="S263" s="98"/>
      <c r="T263" s="98"/>
      <c r="U263" s="98"/>
      <c r="V263" s="98"/>
      <c r="W263" s="98"/>
      <c r="X263" s="98"/>
      <c r="Y263" s="98"/>
      <c r="Z263" s="98"/>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row>
    <row r="264" spans="1:52" ht="14.4" x14ac:dyDescent="0.3">
      <c r="A264" s="98">
        <v>122291</v>
      </c>
      <c r="B264" s="99" t="s">
        <v>356</v>
      </c>
      <c r="C264" s="98">
        <v>14662</v>
      </c>
      <c r="D264" s="99" t="s">
        <v>730</v>
      </c>
      <c r="E264" s="99" t="s">
        <v>1614</v>
      </c>
      <c r="F264" s="99">
        <v>3600</v>
      </c>
      <c r="G264" s="99" t="s">
        <v>520</v>
      </c>
      <c r="H264" s="99" t="s">
        <v>1472</v>
      </c>
      <c r="I264" s="99" t="s">
        <v>1620</v>
      </c>
      <c r="J264" s="99" t="s">
        <v>1621</v>
      </c>
      <c r="K264" s="99" t="s">
        <v>1622</v>
      </c>
      <c r="L264" s="98">
        <v>14662</v>
      </c>
      <c r="M264" s="98">
        <v>14671</v>
      </c>
      <c r="N264" s="98">
        <v>14696</v>
      </c>
      <c r="O264" s="98">
        <v>14712</v>
      </c>
      <c r="P264" s="98">
        <v>14803</v>
      </c>
      <c r="Q264" s="98">
        <v>14811</v>
      </c>
      <c r="R264" s="98">
        <v>14837</v>
      </c>
      <c r="S264" s="100">
        <v>14845</v>
      </c>
      <c r="T264" s="100">
        <v>14861</v>
      </c>
      <c r="U264" s="100">
        <v>107623</v>
      </c>
      <c r="V264" s="100">
        <v>110221</v>
      </c>
      <c r="W264" s="100">
        <v>115667</v>
      </c>
      <c r="X264" s="100">
        <v>117151</v>
      </c>
      <c r="Y264" s="100">
        <v>131367</v>
      </c>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row>
    <row r="265" spans="1:52" ht="14.4" x14ac:dyDescent="0.3">
      <c r="A265" s="98">
        <v>122309</v>
      </c>
      <c r="B265" s="99" t="s">
        <v>357</v>
      </c>
      <c r="C265" s="98">
        <v>14043</v>
      </c>
      <c r="D265" s="99" t="s">
        <v>1584</v>
      </c>
      <c r="E265" s="99" t="s">
        <v>915</v>
      </c>
      <c r="F265" s="99">
        <v>3520</v>
      </c>
      <c r="G265" s="99" t="s">
        <v>510</v>
      </c>
      <c r="H265" s="99" t="s">
        <v>1473</v>
      </c>
      <c r="I265" s="99" t="s">
        <v>1620</v>
      </c>
      <c r="J265" s="99" t="s">
        <v>1621</v>
      </c>
      <c r="K265" s="99" t="s">
        <v>1622</v>
      </c>
      <c r="L265" s="98">
        <v>14027</v>
      </c>
      <c r="M265" s="98">
        <v>14035</v>
      </c>
      <c r="N265" s="98">
        <v>14043</v>
      </c>
      <c r="O265" s="98">
        <v>14051</v>
      </c>
      <c r="P265" s="98">
        <v>117705</v>
      </c>
      <c r="Q265" s="98"/>
      <c r="R265" s="98"/>
      <c r="S265" s="98"/>
      <c r="T265" s="98"/>
      <c r="U265" s="98"/>
      <c r="V265" s="98"/>
      <c r="W265" s="98"/>
      <c r="X265" s="98"/>
      <c r="Y265" s="98"/>
      <c r="Z265" s="98"/>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row>
    <row r="266" spans="1:52" ht="14.4" x14ac:dyDescent="0.3">
      <c r="A266" s="98">
        <v>122317</v>
      </c>
      <c r="B266" s="99" t="s">
        <v>358</v>
      </c>
      <c r="C266" s="98">
        <v>14084</v>
      </c>
      <c r="D266" s="99" t="s">
        <v>918</v>
      </c>
      <c r="E266" s="99" t="s">
        <v>919</v>
      </c>
      <c r="F266" s="99">
        <v>3530</v>
      </c>
      <c r="G266" s="99" t="s">
        <v>511</v>
      </c>
      <c r="H266" s="99" t="s">
        <v>1474</v>
      </c>
      <c r="I266" s="99" t="s">
        <v>1620</v>
      </c>
      <c r="J266" s="99" t="s">
        <v>1621</v>
      </c>
      <c r="K266" s="99" t="s">
        <v>1622</v>
      </c>
      <c r="L266" s="98">
        <v>14076</v>
      </c>
      <c r="M266" s="98">
        <v>14084</v>
      </c>
      <c r="N266" s="98">
        <v>14092</v>
      </c>
      <c r="O266" s="98">
        <v>14101</v>
      </c>
      <c r="P266" s="98"/>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row>
    <row r="267" spans="1:52" ht="14.4" x14ac:dyDescent="0.3">
      <c r="A267" s="98">
        <v>122391</v>
      </c>
      <c r="B267" s="99" t="s">
        <v>404</v>
      </c>
      <c r="C267" s="98">
        <v>8276</v>
      </c>
      <c r="D267" s="99" t="s">
        <v>1585</v>
      </c>
      <c r="E267" s="99" t="s">
        <v>755</v>
      </c>
      <c r="F267" s="99">
        <v>2520</v>
      </c>
      <c r="G267" s="99" t="s">
        <v>754</v>
      </c>
      <c r="H267" s="99" t="s">
        <v>1475</v>
      </c>
      <c r="I267" s="99" t="s">
        <v>450</v>
      </c>
      <c r="J267" s="99" t="s">
        <v>451</v>
      </c>
      <c r="K267" s="99" t="s">
        <v>452</v>
      </c>
      <c r="L267" s="98">
        <v>8219</v>
      </c>
      <c r="M267" s="98">
        <v>8276</v>
      </c>
      <c r="N267" s="98">
        <v>8375</v>
      </c>
      <c r="O267" s="98">
        <v>9688</v>
      </c>
      <c r="P267" s="100">
        <v>9696</v>
      </c>
      <c r="Q267" s="100">
        <v>12666</v>
      </c>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row>
    <row r="268" spans="1:52" ht="14.4" x14ac:dyDescent="0.3">
      <c r="A268" s="98">
        <v>122937</v>
      </c>
      <c r="B268" s="99" t="s">
        <v>359</v>
      </c>
      <c r="C268" s="98">
        <v>6155</v>
      </c>
      <c r="D268" s="99" t="s">
        <v>1586</v>
      </c>
      <c r="E268" s="99" t="s">
        <v>700</v>
      </c>
      <c r="F268" s="99">
        <v>2000</v>
      </c>
      <c r="G268" s="99" t="s">
        <v>449</v>
      </c>
      <c r="H268" s="99" t="s">
        <v>1476</v>
      </c>
      <c r="I268" s="99" t="s">
        <v>450</v>
      </c>
      <c r="J268" s="99" t="s">
        <v>451</v>
      </c>
      <c r="K268" s="99" t="s">
        <v>452</v>
      </c>
      <c r="L268" s="98">
        <v>6106</v>
      </c>
      <c r="M268" s="98">
        <v>6155</v>
      </c>
      <c r="N268" s="98">
        <v>8086</v>
      </c>
      <c r="O268" s="98"/>
      <c r="P268" s="98"/>
      <c r="Q268" s="98"/>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row>
    <row r="269" spans="1:52" ht="14.4" x14ac:dyDescent="0.3">
      <c r="A269" s="98">
        <v>122961</v>
      </c>
      <c r="B269" s="99" t="s">
        <v>360</v>
      </c>
      <c r="C269" s="98">
        <v>15354</v>
      </c>
      <c r="D269" s="99" t="s">
        <v>659</v>
      </c>
      <c r="E269" s="99" t="s">
        <v>947</v>
      </c>
      <c r="F269" s="99">
        <v>3640</v>
      </c>
      <c r="G269" s="99" t="s">
        <v>948</v>
      </c>
      <c r="H269" s="99" t="s">
        <v>1477</v>
      </c>
      <c r="I269" s="99" t="s">
        <v>1620</v>
      </c>
      <c r="J269" s="99" t="s">
        <v>1621</v>
      </c>
      <c r="K269" s="99" t="s">
        <v>1622</v>
      </c>
      <c r="L269" s="98">
        <v>15354</v>
      </c>
      <c r="M269" s="98">
        <v>15362</v>
      </c>
      <c r="N269" s="98">
        <v>15371</v>
      </c>
      <c r="O269" s="100">
        <v>15388</v>
      </c>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row>
    <row r="270" spans="1:52" ht="14.4" x14ac:dyDescent="0.3">
      <c r="A270" s="98">
        <v>122986</v>
      </c>
      <c r="B270" s="99" t="s">
        <v>2</v>
      </c>
      <c r="C270" s="98">
        <v>4821</v>
      </c>
      <c r="D270" s="99" t="s">
        <v>646</v>
      </c>
      <c r="E270" s="99" t="s">
        <v>647</v>
      </c>
      <c r="F270" s="99">
        <v>1620</v>
      </c>
      <c r="G270" s="99" t="s">
        <v>648</v>
      </c>
      <c r="H270" s="99" t="s">
        <v>1478</v>
      </c>
      <c r="I270" s="99" t="s">
        <v>438</v>
      </c>
      <c r="J270" s="99" t="s">
        <v>439</v>
      </c>
      <c r="K270" s="99" t="s">
        <v>440</v>
      </c>
      <c r="L270" s="98">
        <v>4821</v>
      </c>
      <c r="M270" s="98">
        <v>4846</v>
      </c>
      <c r="N270" s="98">
        <v>4887</v>
      </c>
      <c r="O270" s="98">
        <v>5504</v>
      </c>
      <c r="P270" s="100">
        <v>5975</v>
      </c>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row>
    <row r="271" spans="1:52" ht="14.4" x14ac:dyDescent="0.3">
      <c r="A271" s="98">
        <v>122994</v>
      </c>
      <c r="B271" s="99" t="s">
        <v>361</v>
      </c>
      <c r="C271" s="98">
        <v>10439</v>
      </c>
      <c r="D271" s="99" t="s">
        <v>1587</v>
      </c>
      <c r="E271" s="99" t="s">
        <v>827</v>
      </c>
      <c r="F271" s="99">
        <v>2610</v>
      </c>
      <c r="G271" s="99" t="s">
        <v>484</v>
      </c>
      <c r="H271" s="99" t="s">
        <v>1479</v>
      </c>
      <c r="I271" s="99" t="s">
        <v>450</v>
      </c>
      <c r="J271" s="99" t="s">
        <v>451</v>
      </c>
      <c r="K271" s="99" t="s">
        <v>452</v>
      </c>
      <c r="L271" s="98">
        <v>9852</v>
      </c>
      <c r="M271" s="98">
        <v>10363</v>
      </c>
      <c r="N271" s="98">
        <v>10439</v>
      </c>
      <c r="O271" s="98">
        <v>10447</v>
      </c>
      <c r="P271" s="98">
        <v>10603</v>
      </c>
      <c r="Q271" s="100">
        <v>10611</v>
      </c>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row>
    <row r="272" spans="1:52" ht="14.4" x14ac:dyDescent="0.3">
      <c r="A272" s="98">
        <v>123001</v>
      </c>
      <c r="B272" s="99" t="s">
        <v>3</v>
      </c>
      <c r="C272" s="98">
        <v>112474</v>
      </c>
      <c r="D272" s="99" t="s">
        <v>818</v>
      </c>
      <c r="E272" s="99" t="s">
        <v>1191</v>
      </c>
      <c r="F272" s="99">
        <v>2630</v>
      </c>
      <c r="G272" s="99" t="s">
        <v>488</v>
      </c>
      <c r="H272" s="99" t="s">
        <v>1480</v>
      </c>
      <c r="I272" s="99" t="s">
        <v>450</v>
      </c>
      <c r="J272" s="99" t="s">
        <v>451</v>
      </c>
      <c r="K272" s="99" t="s">
        <v>452</v>
      </c>
      <c r="L272" s="98">
        <v>10017</v>
      </c>
      <c r="M272" s="98">
        <v>10462</v>
      </c>
      <c r="N272" s="98">
        <v>10471</v>
      </c>
      <c r="O272" s="98">
        <v>10496</v>
      </c>
      <c r="P272" s="98">
        <v>10561</v>
      </c>
      <c r="Q272" s="98">
        <v>112474</v>
      </c>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0"/>
      <c r="AY272" s="100"/>
      <c r="AZ272" s="100"/>
    </row>
    <row r="273" spans="1:52" ht="14.4" x14ac:dyDescent="0.3">
      <c r="A273" s="98">
        <v>123034</v>
      </c>
      <c r="B273" s="99" t="s">
        <v>362</v>
      </c>
      <c r="C273" s="98">
        <v>5603</v>
      </c>
      <c r="D273" s="99" t="s">
        <v>675</v>
      </c>
      <c r="E273" s="99" t="s">
        <v>677</v>
      </c>
      <c r="F273" s="99">
        <v>1850</v>
      </c>
      <c r="G273" s="99" t="s">
        <v>442</v>
      </c>
      <c r="H273" s="99" t="s">
        <v>1481</v>
      </c>
      <c r="I273" s="99" t="s">
        <v>438</v>
      </c>
      <c r="J273" s="99" t="s">
        <v>439</v>
      </c>
      <c r="K273" s="99" t="s">
        <v>440</v>
      </c>
      <c r="L273" s="98">
        <v>5496</v>
      </c>
      <c r="M273" s="98">
        <v>5546</v>
      </c>
      <c r="N273" s="98">
        <v>5603</v>
      </c>
      <c r="O273" s="98">
        <v>5611</v>
      </c>
      <c r="P273" s="98">
        <v>5637</v>
      </c>
      <c r="Q273" s="98">
        <v>5652</v>
      </c>
      <c r="R273" s="100">
        <v>107532</v>
      </c>
      <c r="S273" s="100">
        <v>129239</v>
      </c>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row>
    <row r="274" spans="1:52" ht="14.4" x14ac:dyDescent="0.3">
      <c r="A274" s="98">
        <v>123224</v>
      </c>
      <c r="B274" s="99" t="s">
        <v>363</v>
      </c>
      <c r="C274" s="98">
        <v>11271</v>
      </c>
      <c r="D274" s="99" t="s">
        <v>842</v>
      </c>
      <c r="E274" s="99" t="s">
        <v>843</v>
      </c>
      <c r="F274" s="99">
        <v>9120</v>
      </c>
      <c r="G274" s="99" t="s">
        <v>844</v>
      </c>
      <c r="H274" s="99" t="s">
        <v>1482</v>
      </c>
      <c r="I274" s="99" t="s">
        <v>485</v>
      </c>
      <c r="J274" s="99" t="s">
        <v>486</v>
      </c>
      <c r="K274" s="99" t="s">
        <v>487</v>
      </c>
      <c r="L274" s="98">
        <v>11271</v>
      </c>
      <c r="M274" s="98">
        <v>11288</v>
      </c>
      <c r="N274" s="98">
        <v>11511</v>
      </c>
      <c r="O274" s="100">
        <v>11536</v>
      </c>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0"/>
      <c r="AY274" s="100"/>
      <c r="AZ274" s="100"/>
    </row>
    <row r="275" spans="1:52" ht="14.4" x14ac:dyDescent="0.3">
      <c r="A275" s="98">
        <v>123232</v>
      </c>
      <c r="B275" s="99" t="s">
        <v>364</v>
      </c>
      <c r="C275" s="98">
        <v>48751</v>
      </c>
      <c r="D275" s="99" t="s">
        <v>649</v>
      </c>
      <c r="E275" s="99" t="s">
        <v>1164</v>
      </c>
      <c r="F275" s="99">
        <v>1630</v>
      </c>
      <c r="G275" s="99" t="s">
        <v>650</v>
      </c>
      <c r="H275" s="99" t="s">
        <v>1483</v>
      </c>
      <c r="I275" s="99" t="s">
        <v>438</v>
      </c>
      <c r="J275" s="99" t="s">
        <v>439</v>
      </c>
      <c r="K275" s="99" t="s">
        <v>440</v>
      </c>
      <c r="L275" s="98">
        <v>4838</v>
      </c>
      <c r="M275" s="98">
        <v>4895</v>
      </c>
      <c r="N275" s="98">
        <v>5512</v>
      </c>
      <c r="O275" s="98">
        <v>5918</v>
      </c>
      <c r="P275" s="98">
        <v>5967</v>
      </c>
      <c r="Q275" s="98">
        <v>48751</v>
      </c>
      <c r="R275" s="98"/>
      <c r="S275" s="98"/>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0"/>
      <c r="AY275" s="100"/>
      <c r="AZ275" s="100"/>
    </row>
    <row r="276" spans="1:52" ht="14.4" x14ac:dyDescent="0.3">
      <c r="A276" s="98">
        <v>124041</v>
      </c>
      <c r="B276" s="99" t="s">
        <v>365</v>
      </c>
      <c r="C276" s="98">
        <v>115774</v>
      </c>
      <c r="D276" s="99" t="s">
        <v>850</v>
      </c>
      <c r="E276" s="99" t="s">
        <v>1195</v>
      </c>
      <c r="F276" s="99">
        <v>9100</v>
      </c>
      <c r="G276" s="99" t="s">
        <v>849</v>
      </c>
      <c r="H276" s="99" t="s">
        <v>1484</v>
      </c>
      <c r="I276" s="99" t="s">
        <v>485</v>
      </c>
      <c r="J276" s="99" t="s">
        <v>486</v>
      </c>
      <c r="K276" s="99" t="s">
        <v>487</v>
      </c>
      <c r="L276" s="98">
        <v>11429</v>
      </c>
      <c r="M276" s="98">
        <v>115774</v>
      </c>
      <c r="N276" s="98"/>
      <c r="O276" s="98"/>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0"/>
      <c r="AY276" s="100"/>
      <c r="AZ276" s="100"/>
    </row>
    <row r="277" spans="1:52" ht="14.4" x14ac:dyDescent="0.3">
      <c r="A277" s="98">
        <v>124115</v>
      </c>
      <c r="B277" s="99" t="s">
        <v>366</v>
      </c>
      <c r="C277" s="98">
        <v>46128</v>
      </c>
      <c r="D277" s="99" t="s">
        <v>767</v>
      </c>
      <c r="E277" s="99" t="s">
        <v>1156</v>
      </c>
      <c r="F277" s="99">
        <v>2300</v>
      </c>
      <c r="G277" s="99" t="s">
        <v>472</v>
      </c>
      <c r="H277" s="99" t="s">
        <v>1485</v>
      </c>
      <c r="I277" s="99" t="s">
        <v>1620</v>
      </c>
      <c r="J277" s="99" t="s">
        <v>1621</v>
      </c>
      <c r="K277" s="99" t="s">
        <v>1622</v>
      </c>
      <c r="L277" s="98">
        <v>8599</v>
      </c>
      <c r="M277" s="98">
        <v>8607</v>
      </c>
      <c r="N277" s="98">
        <v>46128</v>
      </c>
      <c r="O277" s="98"/>
      <c r="P277" s="98"/>
      <c r="Q277" s="98"/>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row>
    <row r="278" spans="1:52" ht="14.4" x14ac:dyDescent="0.3">
      <c r="A278" s="98">
        <v>124149</v>
      </c>
      <c r="B278" s="99" t="s">
        <v>367</v>
      </c>
      <c r="C278" s="98">
        <v>26</v>
      </c>
      <c r="D278" s="99" t="s">
        <v>1588</v>
      </c>
      <c r="E278" s="99" t="s">
        <v>417</v>
      </c>
      <c r="F278" s="99">
        <v>1020</v>
      </c>
      <c r="G278" s="99" t="s">
        <v>418</v>
      </c>
      <c r="H278" s="99" t="s">
        <v>1486</v>
      </c>
      <c r="I278" s="99" t="s">
        <v>438</v>
      </c>
      <c r="J278" s="99" t="s">
        <v>439</v>
      </c>
      <c r="K278" s="99" t="s">
        <v>440</v>
      </c>
      <c r="L278" s="98">
        <v>26</v>
      </c>
      <c r="M278" s="98">
        <v>34</v>
      </c>
      <c r="N278" s="100">
        <v>59</v>
      </c>
      <c r="O278" s="100">
        <v>125</v>
      </c>
      <c r="P278" s="100">
        <v>133</v>
      </c>
      <c r="Q278" s="100">
        <v>182</v>
      </c>
      <c r="R278" s="100">
        <v>104307</v>
      </c>
      <c r="S278" s="100">
        <v>115535</v>
      </c>
      <c r="T278" s="100">
        <v>129271</v>
      </c>
      <c r="U278" s="100">
        <v>129346</v>
      </c>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0"/>
      <c r="AY278" s="100"/>
      <c r="AZ278" s="100"/>
    </row>
    <row r="279" spans="1:52" ht="14.4" x14ac:dyDescent="0.3">
      <c r="A279" s="98">
        <v>124181</v>
      </c>
      <c r="B279" s="99" t="s">
        <v>4</v>
      </c>
      <c r="C279" s="98">
        <v>21881</v>
      </c>
      <c r="D279" s="99" t="s">
        <v>1074</v>
      </c>
      <c r="E279" s="99" t="s">
        <v>1082</v>
      </c>
      <c r="F279" s="99">
        <v>9080</v>
      </c>
      <c r="G279" s="99" t="s">
        <v>1081</v>
      </c>
      <c r="H279" s="99" t="s">
        <v>1487</v>
      </c>
      <c r="I279" s="99" t="s">
        <v>485</v>
      </c>
      <c r="J279" s="99" t="s">
        <v>486</v>
      </c>
      <c r="K279" s="99" t="s">
        <v>487</v>
      </c>
      <c r="L279" s="98">
        <v>21493</v>
      </c>
      <c r="M279" s="98">
        <v>21881</v>
      </c>
      <c r="N279" s="98">
        <v>21899</v>
      </c>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row>
    <row r="280" spans="1:52" ht="14.4" x14ac:dyDescent="0.3">
      <c r="A280" s="98">
        <v>125518</v>
      </c>
      <c r="B280" s="99" t="s">
        <v>368</v>
      </c>
      <c r="C280" s="98">
        <v>5462</v>
      </c>
      <c r="D280" s="99" t="s">
        <v>673</v>
      </c>
      <c r="E280" s="99" t="s">
        <v>674</v>
      </c>
      <c r="F280" s="99">
        <v>1800</v>
      </c>
      <c r="G280" s="99" t="s">
        <v>441</v>
      </c>
      <c r="H280" s="99" t="s">
        <v>1488</v>
      </c>
      <c r="I280" s="99" t="s">
        <v>438</v>
      </c>
      <c r="J280" s="99" t="s">
        <v>439</v>
      </c>
      <c r="K280" s="99" t="s">
        <v>440</v>
      </c>
      <c r="L280" s="98">
        <v>5439</v>
      </c>
      <c r="M280" s="98">
        <v>5447</v>
      </c>
      <c r="N280" s="98">
        <v>5454</v>
      </c>
      <c r="O280" s="98">
        <v>5462</v>
      </c>
      <c r="P280" s="98">
        <v>5471</v>
      </c>
      <c r="Q280" s="98">
        <v>129205</v>
      </c>
      <c r="R280" s="98"/>
      <c r="S280" s="98"/>
      <c r="T280" s="98"/>
      <c r="U280" s="98"/>
      <c r="V280" s="98"/>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row>
    <row r="281" spans="1:52" ht="14.4" x14ac:dyDescent="0.3">
      <c r="A281" s="98">
        <v>125526</v>
      </c>
      <c r="B281" s="99" t="s">
        <v>369</v>
      </c>
      <c r="C281" s="98">
        <v>2626</v>
      </c>
      <c r="D281" s="99" t="s">
        <v>1589</v>
      </c>
      <c r="E281" s="99" t="s">
        <v>563</v>
      </c>
      <c r="F281" s="99">
        <v>9041</v>
      </c>
      <c r="G281" s="99" t="s">
        <v>564</v>
      </c>
      <c r="H281" s="99" t="s">
        <v>1489</v>
      </c>
      <c r="I281" s="99" t="s">
        <v>415</v>
      </c>
      <c r="J281" s="99" t="s">
        <v>416</v>
      </c>
      <c r="K281" s="99" t="s">
        <v>1608</v>
      </c>
      <c r="L281" s="98">
        <v>2601</v>
      </c>
      <c r="M281" s="98">
        <v>2618</v>
      </c>
      <c r="N281" s="98">
        <v>2626</v>
      </c>
      <c r="O281" s="100">
        <v>2642</v>
      </c>
      <c r="P281" s="100">
        <v>2717</v>
      </c>
      <c r="Q281" s="100">
        <v>2725</v>
      </c>
      <c r="R281" s="100">
        <v>2782</v>
      </c>
      <c r="S281" s="100">
        <v>2791</v>
      </c>
      <c r="T281" s="100">
        <v>2808</v>
      </c>
      <c r="U281" s="100">
        <v>3228</v>
      </c>
      <c r="V281" s="100">
        <v>3277</v>
      </c>
      <c r="W281" s="100">
        <v>21238</v>
      </c>
      <c r="X281" s="100">
        <v>24638</v>
      </c>
      <c r="Y281" s="100">
        <v>55871</v>
      </c>
      <c r="Z281" s="100">
        <v>146126</v>
      </c>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row>
    <row r="282" spans="1:52" ht="14.4" x14ac:dyDescent="0.3">
      <c r="A282" s="98">
        <v>125534</v>
      </c>
      <c r="B282" s="99" t="s">
        <v>370</v>
      </c>
      <c r="C282" s="98">
        <v>48363</v>
      </c>
      <c r="D282" s="99" t="s">
        <v>841</v>
      </c>
      <c r="E282" s="99" t="s">
        <v>1162</v>
      </c>
      <c r="F282" s="99">
        <v>3990</v>
      </c>
      <c r="G282" s="99" t="s">
        <v>515</v>
      </c>
      <c r="H282" s="99" t="s">
        <v>1490</v>
      </c>
      <c r="I282" s="99" t="s">
        <v>1620</v>
      </c>
      <c r="J282" s="99" t="s">
        <v>1621</v>
      </c>
      <c r="K282" s="99" t="s">
        <v>1622</v>
      </c>
      <c r="L282" s="98">
        <v>14316</v>
      </c>
      <c r="M282" s="98">
        <v>14324</v>
      </c>
      <c r="N282" s="98">
        <v>14357</v>
      </c>
      <c r="O282" s="98">
        <v>14365</v>
      </c>
      <c r="P282" s="98">
        <v>14373</v>
      </c>
      <c r="Q282" s="98">
        <v>14531</v>
      </c>
      <c r="R282" s="98">
        <v>48363</v>
      </c>
      <c r="S282" s="100">
        <v>105981</v>
      </c>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row>
    <row r="283" spans="1:52" ht="14.4" x14ac:dyDescent="0.3">
      <c r="A283" s="98">
        <v>125567</v>
      </c>
      <c r="B283" s="99" t="s">
        <v>5</v>
      </c>
      <c r="C283" s="98">
        <v>5876</v>
      </c>
      <c r="D283" s="99" t="s">
        <v>659</v>
      </c>
      <c r="E283" s="99" t="s">
        <v>691</v>
      </c>
      <c r="F283" s="99">
        <v>1930</v>
      </c>
      <c r="G283" s="99" t="s">
        <v>446</v>
      </c>
      <c r="H283" s="99" t="s">
        <v>1491</v>
      </c>
      <c r="I283" s="99" t="s">
        <v>438</v>
      </c>
      <c r="J283" s="99" t="s">
        <v>439</v>
      </c>
      <c r="K283" s="99" t="s">
        <v>440</v>
      </c>
      <c r="L283" s="98">
        <v>5876</v>
      </c>
      <c r="M283" s="98">
        <v>5901</v>
      </c>
      <c r="N283" s="98">
        <v>128033</v>
      </c>
      <c r="O283" s="98"/>
      <c r="P283" s="98"/>
      <c r="Q283" s="98"/>
      <c r="R283" s="98"/>
      <c r="S283" s="98"/>
      <c r="T283" s="98"/>
      <c r="U283" s="98"/>
      <c r="V283" s="98"/>
      <c r="W283" s="98"/>
      <c r="X283" s="98"/>
      <c r="Y283" s="98"/>
      <c r="Z283" s="98"/>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row>
    <row r="284" spans="1:52" ht="14.4" x14ac:dyDescent="0.3">
      <c r="A284" s="98">
        <v>125575</v>
      </c>
      <c r="B284" s="99" t="s">
        <v>371</v>
      </c>
      <c r="C284" s="98">
        <v>12872</v>
      </c>
      <c r="D284" s="99" t="s">
        <v>897</v>
      </c>
      <c r="E284" s="99" t="s">
        <v>898</v>
      </c>
      <c r="F284" s="99">
        <v>2230</v>
      </c>
      <c r="G284" s="99" t="s">
        <v>504</v>
      </c>
      <c r="H284" s="99" t="s">
        <v>1492</v>
      </c>
      <c r="I284" s="99" t="s">
        <v>1620</v>
      </c>
      <c r="J284" s="99" t="s">
        <v>1621</v>
      </c>
      <c r="K284" s="99" t="s">
        <v>1622</v>
      </c>
      <c r="L284" s="98">
        <v>12872</v>
      </c>
      <c r="M284" s="98">
        <v>12881</v>
      </c>
      <c r="N284" s="98">
        <v>12898</v>
      </c>
      <c r="O284" s="98">
        <v>12906</v>
      </c>
      <c r="P284" s="98"/>
      <c r="Q284" s="98"/>
      <c r="R284" s="98"/>
      <c r="S284" s="98"/>
      <c r="T284" s="98"/>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row>
    <row r="285" spans="1:52" ht="14.4" x14ac:dyDescent="0.3">
      <c r="A285" s="98">
        <v>125583</v>
      </c>
      <c r="B285" s="99" t="s">
        <v>149</v>
      </c>
      <c r="C285" s="98">
        <v>23689</v>
      </c>
      <c r="D285" s="99" t="s">
        <v>659</v>
      </c>
      <c r="E285" s="99" t="s">
        <v>1110</v>
      </c>
      <c r="F285" s="99">
        <v>9552</v>
      </c>
      <c r="G285" s="99" t="s">
        <v>1111</v>
      </c>
      <c r="H285" s="99" t="s">
        <v>1493</v>
      </c>
      <c r="I285" s="99" t="s">
        <v>415</v>
      </c>
      <c r="J285" s="99" t="s">
        <v>416</v>
      </c>
      <c r="K285" s="99" t="s">
        <v>1608</v>
      </c>
      <c r="L285" s="98">
        <v>22533</v>
      </c>
      <c r="M285" s="98">
        <v>22574</v>
      </c>
      <c r="N285" s="98">
        <v>23499</v>
      </c>
      <c r="O285" s="98">
        <v>23655</v>
      </c>
      <c r="P285" s="100">
        <v>23689</v>
      </c>
      <c r="Q285" s="100">
        <v>23762</v>
      </c>
      <c r="R285" s="100">
        <v>23895</v>
      </c>
      <c r="S285" s="100">
        <v>24083</v>
      </c>
      <c r="T285" s="100">
        <v>137802</v>
      </c>
      <c r="U285" s="100">
        <v>138685</v>
      </c>
      <c r="V285" s="100">
        <v>144725</v>
      </c>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row>
    <row r="286" spans="1:52" ht="14.4" x14ac:dyDescent="0.3">
      <c r="A286" s="98">
        <v>125591</v>
      </c>
      <c r="B286" s="99" t="s">
        <v>6</v>
      </c>
      <c r="C286" s="98">
        <v>117556</v>
      </c>
      <c r="D286" s="99" t="s">
        <v>1590</v>
      </c>
      <c r="E286" s="99" t="s">
        <v>1199</v>
      </c>
      <c r="F286" s="99">
        <v>8020</v>
      </c>
      <c r="G286" s="99" t="s">
        <v>533</v>
      </c>
      <c r="H286" s="99" t="s">
        <v>1494</v>
      </c>
      <c r="I286" s="99" t="s">
        <v>485</v>
      </c>
      <c r="J286" s="99" t="s">
        <v>486</v>
      </c>
      <c r="K286" s="99" t="s">
        <v>487</v>
      </c>
      <c r="L286" s="98">
        <v>21089</v>
      </c>
      <c r="M286" s="98">
        <v>44644</v>
      </c>
      <c r="N286" s="98">
        <v>47167</v>
      </c>
      <c r="O286" s="98">
        <v>104547</v>
      </c>
      <c r="P286" s="100">
        <v>106815</v>
      </c>
      <c r="Q286" s="100">
        <v>110684</v>
      </c>
      <c r="R286" s="100">
        <v>112938</v>
      </c>
      <c r="S286" s="100">
        <v>117556</v>
      </c>
      <c r="T286" s="100">
        <v>127175</v>
      </c>
      <c r="U286" s="100">
        <v>128611</v>
      </c>
      <c r="V286" s="100">
        <v>128661</v>
      </c>
      <c r="W286" s="100">
        <v>128711</v>
      </c>
      <c r="X286" s="100">
        <v>129304</v>
      </c>
      <c r="Y286" s="100">
        <v>129999</v>
      </c>
      <c r="Z286" s="100">
        <v>130121</v>
      </c>
      <c r="AA286" s="100">
        <v>131284</v>
      </c>
      <c r="AB286" s="100">
        <v>131615</v>
      </c>
      <c r="AC286" s="100">
        <v>131797</v>
      </c>
      <c r="AD286" s="100">
        <v>137638</v>
      </c>
      <c r="AE286" s="100">
        <v>138438</v>
      </c>
      <c r="AF286" s="100">
        <v>138479</v>
      </c>
      <c r="AG286" s="100">
        <v>138611</v>
      </c>
      <c r="AH286" s="100">
        <v>139113</v>
      </c>
      <c r="AI286" s="100">
        <v>146084</v>
      </c>
      <c r="AJ286" s="100"/>
      <c r="AK286" s="100"/>
      <c r="AL286" s="100"/>
      <c r="AM286" s="100"/>
      <c r="AN286" s="100"/>
      <c r="AO286" s="100"/>
      <c r="AP286" s="100"/>
      <c r="AQ286" s="100"/>
      <c r="AR286" s="100"/>
      <c r="AS286" s="100"/>
      <c r="AT286" s="100"/>
      <c r="AU286" s="100"/>
      <c r="AV286" s="100"/>
      <c r="AW286" s="100"/>
      <c r="AX286" s="100"/>
      <c r="AY286" s="100"/>
      <c r="AZ286" s="100"/>
    </row>
    <row r="287" spans="1:52" ht="14.4" x14ac:dyDescent="0.3">
      <c r="A287" s="98">
        <v>128009</v>
      </c>
      <c r="B287" s="99" t="s">
        <v>372</v>
      </c>
      <c r="C287" s="98">
        <v>11999</v>
      </c>
      <c r="D287" s="99" t="s">
        <v>866</v>
      </c>
      <c r="E287" s="99" t="s">
        <v>868</v>
      </c>
      <c r="F287" s="99">
        <v>1840</v>
      </c>
      <c r="G287" s="99" t="s">
        <v>869</v>
      </c>
      <c r="H287" s="99" t="s">
        <v>1495</v>
      </c>
      <c r="I287" s="99" t="s">
        <v>485</v>
      </c>
      <c r="J287" s="99" t="s">
        <v>486</v>
      </c>
      <c r="K287" s="99" t="s">
        <v>487</v>
      </c>
      <c r="L287" s="98">
        <v>11957</v>
      </c>
      <c r="M287" s="98">
        <v>11965</v>
      </c>
      <c r="N287" s="98">
        <v>11999</v>
      </c>
      <c r="O287" s="98">
        <v>12039</v>
      </c>
      <c r="P287" s="98"/>
      <c r="Q287" s="98"/>
      <c r="R287" s="98"/>
      <c r="S287" s="98"/>
      <c r="T287" s="98"/>
      <c r="U287" s="98"/>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row>
    <row r="288" spans="1:52" ht="14.4" x14ac:dyDescent="0.3">
      <c r="A288" s="98">
        <v>129031</v>
      </c>
      <c r="B288" s="99" t="s">
        <v>373</v>
      </c>
      <c r="C288" s="98">
        <v>118596</v>
      </c>
      <c r="D288" s="99" t="s">
        <v>1591</v>
      </c>
      <c r="E288" s="99" t="s">
        <v>1205</v>
      </c>
      <c r="F288" s="99">
        <v>9800</v>
      </c>
      <c r="G288" s="99" t="s">
        <v>591</v>
      </c>
      <c r="H288" s="99" t="s">
        <v>1496</v>
      </c>
      <c r="I288" s="99" t="s">
        <v>485</v>
      </c>
      <c r="J288" s="99" t="s">
        <v>486</v>
      </c>
      <c r="K288" s="99" t="s">
        <v>487</v>
      </c>
      <c r="L288" s="98">
        <v>2352</v>
      </c>
      <c r="M288" s="98">
        <v>2501</v>
      </c>
      <c r="N288" s="98">
        <v>2543</v>
      </c>
      <c r="O288" s="98">
        <v>3161</v>
      </c>
      <c r="P288" s="98">
        <v>3178</v>
      </c>
      <c r="Q288" s="98">
        <v>3194</v>
      </c>
      <c r="R288" s="98">
        <v>3211</v>
      </c>
      <c r="S288" s="98">
        <v>3244</v>
      </c>
      <c r="T288" s="98">
        <v>111104</v>
      </c>
      <c r="U288" s="98">
        <v>118596</v>
      </c>
      <c r="V288" s="98">
        <v>128116</v>
      </c>
      <c r="W288" s="98">
        <v>129197</v>
      </c>
      <c r="X288" s="98">
        <v>129544</v>
      </c>
      <c r="Y288" s="98">
        <v>137811</v>
      </c>
      <c r="Z288" s="98">
        <v>146076</v>
      </c>
      <c r="AA288" s="98"/>
      <c r="AB288" s="98"/>
      <c r="AC288" s="98"/>
      <c r="AD288" s="98"/>
      <c r="AE288" s="98"/>
      <c r="AF288" s="98"/>
      <c r="AG288" s="98"/>
      <c r="AH288" s="98"/>
      <c r="AI288" s="100"/>
      <c r="AJ288" s="100"/>
      <c r="AK288" s="100"/>
      <c r="AL288" s="100"/>
      <c r="AM288" s="100"/>
      <c r="AN288" s="100"/>
      <c r="AO288" s="100"/>
      <c r="AP288" s="100"/>
      <c r="AQ288" s="100"/>
      <c r="AR288" s="100"/>
      <c r="AS288" s="100"/>
      <c r="AT288" s="100"/>
      <c r="AU288" s="100"/>
      <c r="AV288" s="100"/>
      <c r="AW288" s="100"/>
      <c r="AX288" s="100"/>
      <c r="AY288" s="100"/>
      <c r="AZ288" s="100"/>
    </row>
    <row r="289" spans="1:52" ht="14.4" x14ac:dyDescent="0.3">
      <c r="A289" s="98">
        <v>129049</v>
      </c>
      <c r="B289" s="99" t="s">
        <v>374</v>
      </c>
      <c r="C289" s="98">
        <v>109</v>
      </c>
      <c r="D289" s="99" t="s">
        <v>1592</v>
      </c>
      <c r="E289" s="99" t="s">
        <v>425</v>
      </c>
      <c r="F289" s="99">
        <v>1081</v>
      </c>
      <c r="G289" s="99" t="s">
        <v>426</v>
      </c>
      <c r="H289" s="99" t="s">
        <v>1497</v>
      </c>
      <c r="I289" s="99" t="s">
        <v>438</v>
      </c>
      <c r="J289" s="99" t="s">
        <v>439</v>
      </c>
      <c r="K289" s="99" t="s">
        <v>440</v>
      </c>
      <c r="L289" s="98">
        <v>75</v>
      </c>
      <c r="M289" s="98">
        <v>83</v>
      </c>
      <c r="N289" s="98">
        <v>91</v>
      </c>
      <c r="O289" s="98">
        <v>109</v>
      </c>
      <c r="P289" s="100">
        <v>104299</v>
      </c>
      <c r="Q289" s="100">
        <v>108027</v>
      </c>
      <c r="R289" s="100">
        <v>110676</v>
      </c>
      <c r="S289" s="100">
        <v>114124</v>
      </c>
      <c r="T289" s="100">
        <v>129569</v>
      </c>
      <c r="U289" s="100">
        <v>133371</v>
      </c>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row>
    <row r="290" spans="1:52" ht="14.4" x14ac:dyDescent="0.3">
      <c r="A290" s="98">
        <v>129155</v>
      </c>
      <c r="B290" s="99" t="s">
        <v>7</v>
      </c>
      <c r="C290" s="98">
        <v>11775</v>
      </c>
      <c r="D290" s="99" t="s">
        <v>496</v>
      </c>
      <c r="E290" s="99" t="s">
        <v>859</v>
      </c>
      <c r="F290" s="99">
        <v>2800</v>
      </c>
      <c r="G290" s="99" t="s">
        <v>495</v>
      </c>
      <c r="H290" s="99" t="s">
        <v>1498</v>
      </c>
      <c r="I290" s="99" t="s">
        <v>485</v>
      </c>
      <c r="J290" s="99" t="s">
        <v>486</v>
      </c>
      <c r="K290" s="99" t="s">
        <v>487</v>
      </c>
      <c r="L290" s="98">
        <v>1057</v>
      </c>
      <c r="M290" s="98">
        <v>1065</v>
      </c>
      <c r="N290" s="98">
        <v>1073</v>
      </c>
      <c r="O290" s="98">
        <v>1123</v>
      </c>
      <c r="P290" s="98">
        <v>10025</v>
      </c>
      <c r="Q290" s="98">
        <v>11726</v>
      </c>
      <c r="R290" s="98">
        <v>11742</v>
      </c>
      <c r="S290" s="98">
        <v>11759</v>
      </c>
      <c r="T290" s="98">
        <v>11775</v>
      </c>
      <c r="U290" s="98">
        <v>11783</v>
      </c>
      <c r="V290" s="98">
        <v>12047</v>
      </c>
      <c r="W290" s="98">
        <v>12054</v>
      </c>
      <c r="X290" s="98">
        <v>111138</v>
      </c>
      <c r="Y290" s="98">
        <v>129601</v>
      </c>
      <c r="Z290" s="98"/>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0"/>
      <c r="AY290" s="100"/>
      <c r="AZ290" s="100"/>
    </row>
    <row r="291" spans="1:52" ht="14.4" x14ac:dyDescent="0.3">
      <c r="A291" s="98">
        <v>129171</v>
      </c>
      <c r="B291" s="99" t="s">
        <v>209</v>
      </c>
      <c r="C291" s="98">
        <v>4201</v>
      </c>
      <c r="D291" s="99" t="s">
        <v>610</v>
      </c>
      <c r="E291" s="99" t="s">
        <v>628</v>
      </c>
      <c r="F291" s="99">
        <v>1083</v>
      </c>
      <c r="G291" s="99" t="s">
        <v>424</v>
      </c>
      <c r="H291" s="99" t="s">
        <v>1499</v>
      </c>
      <c r="I291" s="99" t="s">
        <v>438</v>
      </c>
      <c r="J291" s="99" t="s">
        <v>439</v>
      </c>
      <c r="K291" s="99" t="s">
        <v>440</v>
      </c>
      <c r="L291" s="98">
        <v>3756</v>
      </c>
      <c r="M291" s="98">
        <v>3954</v>
      </c>
      <c r="N291" s="98">
        <v>4028</v>
      </c>
      <c r="O291" s="98">
        <v>4051</v>
      </c>
      <c r="P291" s="98">
        <v>4119</v>
      </c>
      <c r="Q291" s="98">
        <v>4201</v>
      </c>
      <c r="R291" s="98">
        <v>4218</v>
      </c>
      <c r="S291" s="98">
        <v>5199</v>
      </c>
      <c r="T291" s="98"/>
      <c r="U291" s="98"/>
      <c r="V291" s="98"/>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row>
    <row r="292" spans="1:52" ht="14.4" x14ac:dyDescent="0.3">
      <c r="A292" s="98">
        <v>130856</v>
      </c>
      <c r="B292" s="99" t="s">
        <v>210</v>
      </c>
      <c r="C292" s="98">
        <v>107839</v>
      </c>
      <c r="D292" s="99" t="s">
        <v>837</v>
      </c>
      <c r="E292" s="99" t="s">
        <v>1179</v>
      </c>
      <c r="F292" s="99">
        <v>9100</v>
      </c>
      <c r="G292" s="99" t="s">
        <v>493</v>
      </c>
      <c r="H292" s="99" t="s">
        <v>1500</v>
      </c>
      <c r="I292" s="99" t="s">
        <v>485</v>
      </c>
      <c r="J292" s="99" t="s">
        <v>486</v>
      </c>
      <c r="K292" s="99" t="s">
        <v>487</v>
      </c>
      <c r="L292" s="98">
        <v>11007</v>
      </c>
      <c r="M292" s="98">
        <v>11064</v>
      </c>
      <c r="N292" s="98">
        <v>11081</v>
      </c>
      <c r="O292" s="98">
        <v>11098</v>
      </c>
      <c r="P292" s="98">
        <v>11411</v>
      </c>
      <c r="Q292" s="98">
        <v>22137</v>
      </c>
      <c r="R292" s="98">
        <v>106013</v>
      </c>
      <c r="S292" s="98">
        <v>107839</v>
      </c>
      <c r="T292" s="98">
        <v>115733</v>
      </c>
      <c r="U292" s="98">
        <v>115808</v>
      </c>
      <c r="V292" s="98"/>
      <c r="W292" s="98"/>
      <c r="X292" s="98"/>
      <c r="Y292" s="98"/>
      <c r="Z292" s="98"/>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row>
    <row r="293" spans="1:52" ht="14.4" x14ac:dyDescent="0.3">
      <c r="A293" s="98">
        <v>130989</v>
      </c>
      <c r="B293" s="99" t="s">
        <v>375</v>
      </c>
      <c r="C293" s="98">
        <v>19638</v>
      </c>
      <c r="D293" s="99" t="s">
        <v>633</v>
      </c>
      <c r="E293" s="99" t="s">
        <v>1038</v>
      </c>
      <c r="F293" s="99">
        <v>8540</v>
      </c>
      <c r="G293" s="99" t="s">
        <v>552</v>
      </c>
      <c r="H293" s="99" t="s">
        <v>1501</v>
      </c>
      <c r="I293" s="99" t="s">
        <v>1617</v>
      </c>
      <c r="J293" s="99" t="s">
        <v>1618</v>
      </c>
      <c r="K293" s="99" t="s">
        <v>1619</v>
      </c>
      <c r="L293" s="98">
        <v>18846</v>
      </c>
      <c r="M293" s="98">
        <v>18903</v>
      </c>
      <c r="N293" s="98">
        <v>18911</v>
      </c>
      <c r="O293" s="98">
        <v>18929</v>
      </c>
      <c r="P293" s="98">
        <v>18937</v>
      </c>
      <c r="Q293" s="98">
        <v>18945</v>
      </c>
      <c r="R293" s="98">
        <v>18952</v>
      </c>
      <c r="S293" s="98">
        <v>19497</v>
      </c>
      <c r="T293" s="98">
        <v>19638</v>
      </c>
      <c r="U293" s="100">
        <v>19653</v>
      </c>
      <c r="V293" s="100">
        <v>19679</v>
      </c>
      <c r="W293" s="100">
        <v>144758</v>
      </c>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0"/>
      <c r="AY293" s="100"/>
      <c r="AZ293" s="100"/>
    </row>
    <row r="294" spans="1:52" ht="14.4" x14ac:dyDescent="0.3">
      <c r="A294" s="98">
        <v>138727</v>
      </c>
      <c r="B294" s="99" t="s">
        <v>376</v>
      </c>
      <c r="C294" s="98">
        <v>13334</v>
      </c>
      <c r="D294" s="99" t="s">
        <v>618</v>
      </c>
      <c r="E294" s="99" t="s">
        <v>901</v>
      </c>
      <c r="F294" s="99">
        <v>3290</v>
      </c>
      <c r="G294" s="99" t="s">
        <v>506</v>
      </c>
      <c r="H294" s="99" t="s">
        <v>1502</v>
      </c>
      <c r="I294" s="99" t="s">
        <v>438</v>
      </c>
      <c r="J294" s="99" t="s">
        <v>439</v>
      </c>
      <c r="K294" s="99" t="s">
        <v>440</v>
      </c>
      <c r="L294" s="98">
        <v>13227</v>
      </c>
      <c r="M294" s="98">
        <v>13243</v>
      </c>
      <c r="N294" s="98">
        <v>13268</v>
      </c>
      <c r="O294" s="98">
        <v>13276</v>
      </c>
      <c r="P294" s="98">
        <v>13292</v>
      </c>
      <c r="Q294" s="100">
        <v>13318</v>
      </c>
      <c r="R294" s="100">
        <v>13334</v>
      </c>
      <c r="S294" s="100">
        <v>13367</v>
      </c>
      <c r="T294" s="100">
        <v>13649</v>
      </c>
      <c r="U294" s="100">
        <v>102591</v>
      </c>
      <c r="V294" s="100">
        <v>115543</v>
      </c>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0"/>
      <c r="AY294" s="100"/>
      <c r="AZ294" s="100"/>
    </row>
    <row r="295" spans="1:52" ht="14.4" x14ac:dyDescent="0.3">
      <c r="A295" s="98">
        <v>138735</v>
      </c>
      <c r="B295" s="99" t="s">
        <v>377</v>
      </c>
      <c r="C295" s="98">
        <v>22764</v>
      </c>
      <c r="D295" s="99" t="s">
        <v>1593</v>
      </c>
      <c r="E295" s="99" t="s">
        <v>1095</v>
      </c>
      <c r="F295" s="99">
        <v>9300</v>
      </c>
      <c r="G295" s="99" t="s">
        <v>576</v>
      </c>
      <c r="H295" s="99" t="s">
        <v>1503</v>
      </c>
      <c r="I295" s="99" t="s">
        <v>415</v>
      </c>
      <c r="J295" s="99" t="s">
        <v>416</v>
      </c>
      <c r="K295" s="99" t="s">
        <v>1608</v>
      </c>
      <c r="L295" s="98">
        <v>5397</v>
      </c>
      <c r="M295" s="98">
        <v>22764</v>
      </c>
      <c r="N295" s="98">
        <v>22772</v>
      </c>
      <c r="O295" s="98">
        <v>22781</v>
      </c>
      <c r="P295" s="98">
        <v>23135</v>
      </c>
      <c r="Q295" s="98">
        <v>23317</v>
      </c>
      <c r="R295" s="98">
        <v>23663</v>
      </c>
      <c r="S295" s="98">
        <v>138446</v>
      </c>
      <c r="T295" s="98"/>
      <c r="U295" s="98"/>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row>
    <row r="296" spans="1:52" ht="14.4" x14ac:dyDescent="0.3">
      <c r="A296" s="98">
        <v>138751</v>
      </c>
      <c r="B296" s="99" t="s">
        <v>378</v>
      </c>
      <c r="C296" s="98">
        <v>23945</v>
      </c>
      <c r="D296" s="99" t="s">
        <v>1109</v>
      </c>
      <c r="E296" s="99" t="s">
        <v>1113</v>
      </c>
      <c r="F296" s="99">
        <v>9620</v>
      </c>
      <c r="G296" s="99" t="s">
        <v>1114</v>
      </c>
      <c r="H296" s="99" t="s">
        <v>1504</v>
      </c>
      <c r="I296" s="99" t="s">
        <v>415</v>
      </c>
      <c r="J296" s="99" t="s">
        <v>416</v>
      </c>
      <c r="K296" s="99" t="s">
        <v>1608</v>
      </c>
      <c r="L296" s="98">
        <v>23671</v>
      </c>
      <c r="M296" s="98">
        <v>23739</v>
      </c>
      <c r="N296" s="98">
        <v>23788</v>
      </c>
      <c r="O296" s="98">
        <v>23945</v>
      </c>
      <c r="P296" s="98">
        <v>23952</v>
      </c>
      <c r="Q296" s="98">
        <v>23961</v>
      </c>
      <c r="R296" s="98">
        <v>24026</v>
      </c>
      <c r="S296" s="98">
        <v>110106</v>
      </c>
      <c r="T296" s="98">
        <v>117937</v>
      </c>
      <c r="U296" s="98">
        <v>129511</v>
      </c>
      <c r="V296" s="98">
        <v>131921</v>
      </c>
      <c r="W296" s="98"/>
      <c r="X296" s="98"/>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row>
    <row r="297" spans="1:52" ht="14.4" x14ac:dyDescent="0.3">
      <c r="A297" s="98">
        <v>138776</v>
      </c>
      <c r="B297" s="99" t="s">
        <v>379</v>
      </c>
      <c r="C297" s="98">
        <v>106039</v>
      </c>
      <c r="D297" s="99" t="s">
        <v>624</v>
      </c>
      <c r="E297" s="99" t="s">
        <v>1176</v>
      </c>
      <c r="F297" s="99">
        <v>9930</v>
      </c>
      <c r="G297" s="99" t="s">
        <v>595</v>
      </c>
      <c r="H297" s="99" t="s">
        <v>1505</v>
      </c>
      <c r="I297" s="99" t="s">
        <v>415</v>
      </c>
      <c r="J297" s="99" t="s">
        <v>416</v>
      </c>
      <c r="K297" s="99" t="s">
        <v>1608</v>
      </c>
      <c r="L297" s="98">
        <v>24943</v>
      </c>
      <c r="M297" s="98">
        <v>24951</v>
      </c>
      <c r="N297" s="98">
        <v>24984</v>
      </c>
      <c r="O297" s="98">
        <v>25015</v>
      </c>
      <c r="P297" s="98">
        <v>25023</v>
      </c>
      <c r="Q297" s="98">
        <v>25122</v>
      </c>
      <c r="R297" s="98">
        <v>105999</v>
      </c>
      <c r="S297" s="98">
        <v>106021</v>
      </c>
      <c r="T297" s="98">
        <v>106039</v>
      </c>
      <c r="U297" s="98">
        <v>115865</v>
      </c>
      <c r="V297" s="98">
        <v>115881</v>
      </c>
      <c r="W297" s="98"/>
      <c r="X297" s="98"/>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row>
    <row r="298" spans="1:52" ht="14.4" x14ac:dyDescent="0.3">
      <c r="A298" s="98">
        <v>138784</v>
      </c>
      <c r="B298" s="99" t="s">
        <v>380</v>
      </c>
      <c r="C298" s="98">
        <v>414</v>
      </c>
      <c r="D298" s="99" t="s">
        <v>1594</v>
      </c>
      <c r="E298" s="99" t="s">
        <v>453</v>
      </c>
      <c r="F298" s="99">
        <v>2050</v>
      </c>
      <c r="G298" s="99" t="s">
        <v>449</v>
      </c>
      <c r="H298" s="99" t="s">
        <v>1506</v>
      </c>
      <c r="I298" s="99" t="s">
        <v>450</v>
      </c>
      <c r="J298" s="99" t="s">
        <v>451</v>
      </c>
      <c r="K298" s="99" t="s">
        <v>452</v>
      </c>
      <c r="L298" s="98">
        <v>414</v>
      </c>
      <c r="M298" s="98">
        <v>885</v>
      </c>
      <c r="N298" s="98">
        <v>1008</v>
      </c>
      <c r="O298" s="98">
        <v>44602</v>
      </c>
      <c r="P298" s="98">
        <v>118703</v>
      </c>
      <c r="Q298" s="98">
        <v>128868</v>
      </c>
      <c r="R298" s="98">
        <v>129221</v>
      </c>
      <c r="S298" s="98"/>
      <c r="T298" s="98"/>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row>
    <row r="299" spans="1:52" ht="14.4" x14ac:dyDescent="0.3">
      <c r="A299" s="98">
        <v>138826</v>
      </c>
      <c r="B299" s="99" t="s">
        <v>381</v>
      </c>
      <c r="C299" s="98">
        <v>9928</v>
      </c>
      <c r="D299" s="99" t="s">
        <v>1595</v>
      </c>
      <c r="E299" s="99" t="s">
        <v>816</v>
      </c>
      <c r="F299" s="99">
        <v>2547</v>
      </c>
      <c r="G299" s="99" t="s">
        <v>817</v>
      </c>
      <c r="H299" s="99" t="s">
        <v>1507</v>
      </c>
      <c r="I299" s="99" t="s">
        <v>450</v>
      </c>
      <c r="J299" s="99" t="s">
        <v>451</v>
      </c>
      <c r="K299" s="99" t="s">
        <v>452</v>
      </c>
      <c r="L299" s="98">
        <v>8151</v>
      </c>
      <c r="M299" s="98">
        <v>9928</v>
      </c>
      <c r="N299" s="98">
        <v>9969</v>
      </c>
      <c r="O299" s="98">
        <v>10454</v>
      </c>
      <c r="P299" s="98">
        <v>10488</v>
      </c>
      <c r="Q299" s="98">
        <v>10546</v>
      </c>
      <c r="R299" s="98">
        <v>10587</v>
      </c>
      <c r="S299" s="98">
        <v>61151</v>
      </c>
      <c r="T299" s="98"/>
      <c r="U299" s="98"/>
      <c r="V299" s="98"/>
      <c r="W299" s="98"/>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row>
    <row r="300" spans="1:52" ht="14.4" x14ac:dyDescent="0.3">
      <c r="A300" s="98">
        <v>138834</v>
      </c>
      <c r="B300" s="99" t="s">
        <v>382</v>
      </c>
      <c r="C300" s="98">
        <v>12773</v>
      </c>
      <c r="D300" s="99" t="s">
        <v>890</v>
      </c>
      <c r="E300" s="99" t="s">
        <v>891</v>
      </c>
      <c r="F300" s="99">
        <v>3128</v>
      </c>
      <c r="G300" s="99" t="s">
        <v>892</v>
      </c>
      <c r="H300" s="99" t="s">
        <v>1508</v>
      </c>
      <c r="I300" s="99" t="s">
        <v>438</v>
      </c>
      <c r="J300" s="99" t="s">
        <v>439</v>
      </c>
      <c r="K300" s="99" t="s">
        <v>440</v>
      </c>
      <c r="L300" s="98">
        <v>12765</v>
      </c>
      <c r="M300" s="98">
        <v>12773</v>
      </c>
      <c r="N300" s="98">
        <v>12799</v>
      </c>
      <c r="O300" s="98">
        <v>13094</v>
      </c>
      <c r="P300" s="100">
        <v>13102</v>
      </c>
      <c r="Q300" s="100">
        <v>13111</v>
      </c>
      <c r="R300" s="100">
        <v>13128</v>
      </c>
      <c r="S300" s="100">
        <v>13151</v>
      </c>
      <c r="T300" s="100">
        <v>13169</v>
      </c>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row>
    <row r="301" spans="1:52" ht="14.4" x14ac:dyDescent="0.3">
      <c r="A301" s="98">
        <v>138842</v>
      </c>
      <c r="B301" s="99" t="s">
        <v>383</v>
      </c>
      <c r="C301" s="98">
        <v>129577</v>
      </c>
      <c r="D301" s="99" t="s">
        <v>1596</v>
      </c>
      <c r="E301" s="99" t="s">
        <v>1220</v>
      </c>
      <c r="F301" s="99">
        <v>1090</v>
      </c>
      <c r="G301" s="99" t="s">
        <v>629</v>
      </c>
      <c r="H301" s="99" t="s">
        <v>1509</v>
      </c>
      <c r="I301" s="99" t="s">
        <v>438</v>
      </c>
      <c r="J301" s="99" t="s">
        <v>439</v>
      </c>
      <c r="K301" s="99" t="s">
        <v>440</v>
      </c>
      <c r="L301" s="98">
        <v>117</v>
      </c>
      <c r="M301" s="98">
        <v>115527</v>
      </c>
      <c r="N301" s="98">
        <v>129338</v>
      </c>
      <c r="O301" s="98">
        <v>129577</v>
      </c>
      <c r="P301" s="98">
        <v>130278</v>
      </c>
      <c r="Q301" s="98">
        <v>130955</v>
      </c>
      <c r="R301" s="98">
        <v>131532</v>
      </c>
      <c r="S301" s="98">
        <v>131557</v>
      </c>
      <c r="T301" s="98">
        <v>138453</v>
      </c>
      <c r="U301" s="98">
        <v>144709</v>
      </c>
      <c r="V301" s="98"/>
      <c r="W301" s="98"/>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row>
    <row r="302" spans="1:52" ht="14.4" x14ac:dyDescent="0.3">
      <c r="A302" s="98">
        <v>138859</v>
      </c>
      <c r="B302" s="99" t="s">
        <v>384</v>
      </c>
      <c r="C302" s="98">
        <v>19364</v>
      </c>
      <c r="D302" s="99" t="s">
        <v>1597</v>
      </c>
      <c r="E302" s="99" t="s">
        <v>1034</v>
      </c>
      <c r="F302" s="99">
        <v>8980</v>
      </c>
      <c r="G302" s="99" t="s">
        <v>1035</v>
      </c>
      <c r="H302" s="99" t="s">
        <v>1510</v>
      </c>
      <c r="I302" s="99" t="s">
        <v>1617</v>
      </c>
      <c r="J302" s="99" t="s">
        <v>1618</v>
      </c>
      <c r="K302" s="99" t="s">
        <v>1619</v>
      </c>
      <c r="L302" s="98">
        <v>17483</v>
      </c>
      <c r="M302" s="98">
        <v>19323</v>
      </c>
      <c r="N302" s="98">
        <v>19364</v>
      </c>
      <c r="O302" s="98">
        <v>19398</v>
      </c>
      <c r="P302" s="98">
        <v>20495</v>
      </c>
      <c r="Q302" s="98">
        <v>20628</v>
      </c>
      <c r="R302" s="98"/>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row>
    <row r="303" spans="1:52" ht="14.4" x14ac:dyDescent="0.3">
      <c r="A303" s="98">
        <v>138867</v>
      </c>
      <c r="B303" s="99" t="s">
        <v>385</v>
      </c>
      <c r="C303" s="98">
        <v>21857</v>
      </c>
      <c r="D303" s="99" t="s">
        <v>924</v>
      </c>
      <c r="E303" s="99" t="s">
        <v>1080</v>
      </c>
      <c r="F303" s="99">
        <v>9070</v>
      </c>
      <c r="G303" s="99" t="s">
        <v>574</v>
      </c>
      <c r="H303" s="99" t="s">
        <v>1511</v>
      </c>
      <c r="I303" s="99" t="s">
        <v>485</v>
      </c>
      <c r="J303" s="99" t="s">
        <v>486</v>
      </c>
      <c r="K303" s="99" t="s">
        <v>487</v>
      </c>
      <c r="L303" s="98">
        <v>21221</v>
      </c>
      <c r="M303" s="98">
        <v>21857</v>
      </c>
      <c r="N303" s="98">
        <v>21865</v>
      </c>
      <c r="O303" s="98">
        <v>22327</v>
      </c>
      <c r="P303" s="98">
        <v>22459</v>
      </c>
      <c r="Q303" s="98">
        <v>22475</v>
      </c>
      <c r="R303" s="98">
        <v>22483</v>
      </c>
      <c r="S303" s="98"/>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row>
    <row r="304" spans="1:52" ht="14.4" x14ac:dyDescent="0.3">
      <c r="A304" s="98">
        <v>138875</v>
      </c>
      <c r="B304" s="99" t="s">
        <v>386</v>
      </c>
      <c r="C304" s="98">
        <v>4762</v>
      </c>
      <c r="D304" s="99" t="s">
        <v>642</v>
      </c>
      <c r="E304" s="99" t="s">
        <v>643</v>
      </c>
      <c r="F304" s="99">
        <v>1600</v>
      </c>
      <c r="G304" s="99" t="s">
        <v>433</v>
      </c>
      <c r="H304" s="99" t="s">
        <v>1512</v>
      </c>
      <c r="I304" s="99" t="s">
        <v>438</v>
      </c>
      <c r="J304" s="99" t="s">
        <v>439</v>
      </c>
      <c r="K304" s="99" t="s">
        <v>440</v>
      </c>
      <c r="L304" s="98">
        <v>4762</v>
      </c>
      <c r="M304" s="98">
        <v>4804</v>
      </c>
      <c r="N304" s="98">
        <v>125492</v>
      </c>
      <c r="O304" s="98"/>
      <c r="P304" s="98"/>
      <c r="Q304" s="98"/>
      <c r="R304" s="98"/>
      <c r="S304" s="98"/>
      <c r="T304" s="98"/>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row>
    <row r="305" spans="1:52" ht="14.4" x14ac:dyDescent="0.3">
      <c r="A305" s="98">
        <v>138883</v>
      </c>
      <c r="B305" s="99" t="s">
        <v>387</v>
      </c>
      <c r="C305" s="98">
        <v>6346</v>
      </c>
      <c r="D305" s="99" t="s">
        <v>698</v>
      </c>
      <c r="E305" s="99" t="s">
        <v>705</v>
      </c>
      <c r="F305" s="99">
        <v>2060</v>
      </c>
      <c r="G305" s="99" t="s">
        <v>449</v>
      </c>
      <c r="H305" s="99" t="s">
        <v>1513</v>
      </c>
      <c r="I305" s="99" t="s">
        <v>450</v>
      </c>
      <c r="J305" s="99" t="s">
        <v>451</v>
      </c>
      <c r="K305" s="99" t="s">
        <v>452</v>
      </c>
      <c r="L305" s="98">
        <v>12196</v>
      </c>
      <c r="M305" s="98"/>
      <c r="N305" s="98">
        <v>6312</v>
      </c>
      <c r="O305" s="98">
        <v>6321</v>
      </c>
      <c r="P305" s="98">
        <v>6346</v>
      </c>
      <c r="Q305" s="98">
        <v>6353</v>
      </c>
      <c r="R305" s="98">
        <v>6494</v>
      </c>
      <c r="S305" s="98">
        <v>129321</v>
      </c>
      <c r="T305" s="100">
        <v>131037</v>
      </c>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row>
    <row r="306" spans="1:52" ht="14.4" x14ac:dyDescent="0.3">
      <c r="A306" s="98">
        <v>138891</v>
      </c>
      <c r="B306" s="99" t="s">
        <v>388</v>
      </c>
      <c r="C306" s="98">
        <v>6676</v>
      </c>
      <c r="D306" s="99" t="s">
        <v>704</v>
      </c>
      <c r="E306" s="99" t="s">
        <v>712</v>
      </c>
      <c r="F306" s="99">
        <v>2020</v>
      </c>
      <c r="G306" s="99" t="s">
        <v>449</v>
      </c>
      <c r="H306" s="99" t="s">
        <v>1514</v>
      </c>
      <c r="I306" s="99" t="s">
        <v>450</v>
      </c>
      <c r="J306" s="99" t="s">
        <v>451</v>
      </c>
      <c r="K306" s="99" t="s">
        <v>452</v>
      </c>
      <c r="L306" s="98">
        <v>6338</v>
      </c>
      <c r="M306" s="98">
        <v>6379</v>
      </c>
      <c r="N306" s="98">
        <v>6676</v>
      </c>
      <c r="O306" s="98">
        <v>6833</v>
      </c>
      <c r="P306" s="98">
        <v>8045</v>
      </c>
      <c r="Q306" s="98">
        <v>8052</v>
      </c>
      <c r="R306" s="100">
        <v>46672</v>
      </c>
      <c r="S306" s="100">
        <v>103242</v>
      </c>
      <c r="T306" s="100">
        <v>117366</v>
      </c>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row>
    <row r="307" spans="1:52" ht="14.4" x14ac:dyDescent="0.3">
      <c r="A307" s="98">
        <v>138941</v>
      </c>
      <c r="B307" s="99" t="s">
        <v>389</v>
      </c>
      <c r="C307" s="98">
        <v>118463</v>
      </c>
      <c r="D307" s="99" t="s">
        <v>1598</v>
      </c>
      <c r="E307" s="99" t="s">
        <v>1203</v>
      </c>
      <c r="F307" s="99">
        <v>3840</v>
      </c>
      <c r="G307" s="99" t="s">
        <v>960</v>
      </c>
      <c r="H307" s="99" t="s">
        <v>1515</v>
      </c>
      <c r="I307" s="99" t="s">
        <v>1620</v>
      </c>
      <c r="J307" s="99" t="s">
        <v>1621</v>
      </c>
      <c r="K307" s="99" t="s">
        <v>1622</v>
      </c>
      <c r="L307" s="98">
        <v>1693</v>
      </c>
      <c r="M307" s="98">
        <v>1701</v>
      </c>
      <c r="N307" s="98">
        <v>1719</v>
      </c>
      <c r="O307" s="98">
        <v>1727</v>
      </c>
      <c r="P307" s="98">
        <v>1818</v>
      </c>
      <c r="Q307" s="98">
        <v>118463</v>
      </c>
      <c r="R307" s="98">
        <v>125609</v>
      </c>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row>
    <row r="308" spans="1:52" ht="14.4" x14ac:dyDescent="0.3">
      <c r="A308" s="98">
        <v>138958</v>
      </c>
      <c r="B308" s="99" t="s">
        <v>390</v>
      </c>
      <c r="C308" s="98">
        <v>12088</v>
      </c>
      <c r="D308" s="99" t="s">
        <v>857</v>
      </c>
      <c r="E308" s="99" t="s">
        <v>874</v>
      </c>
      <c r="F308" s="99">
        <v>1980</v>
      </c>
      <c r="G308" s="99" t="s">
        <v>872</v>
      </c>
      <c r="H308" s="99" t="s">
        <v>1516</v>
      </c>
      <c r="I308" s="99" t="s">
        <v>485</v>
      </c>
      <c r="J308" s="99" t="s">
        <v>486</v>
      </c>
      <c r="K308" s="99" t="s">
        <v>487</v>
      </c>
      <c r="L308" s="98">
        <v>11676</v>
      </c>
      <c r="M308" s="98">
        <v>11891</v>
      </c>
      <c r="N308" s="98">
        <v>12088</v>
      </c>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row>
    <row r="309" spans="1:52" ht="14.4" x14ac:dyDescent="0.3">
      <c r="A309" s="98">
        <v>138966</v>
      </c>
      <c r="B309" s="99" t="s">
        <v>391</v>
      </c>
      <c r="C309" s="98">
        <v>125625</v>
      </c>
      <c r="D309" s="99" t="s">
        <v>1599</v>
      </c>
      <c r="E309" s="99" t="s">
        <v>1212</v>
      </c>
      <c r="F309" s="99">
        <v>3800</v>
      </c>
      <c r="G309" s="99" t="s">
        <v>528</v>
      </c>
      <c r="H309" s="99" t="s">
        <v>1517</v>
      </c>
      <c r="I309" s="99" t="s">
        <v>1620</v>
      </c>
      <c r="J309" s="99" t="s">
        <v>1621</v>
      </c>
      <c r="K309" s="99" t="s">
        <v>1622</v>
      </c>
      <c r="L309" s="98">
        <v>1362</v>
      </c>
      <c r="M309" s="98">
        <v>1751</v>
      </c>
      <c r="N309" s="98">
        <v>1768</v>
      </c>
      <c r="O309" s="98">
        <v>13681</v>
      </c>
      <c r="P309" s="98">
        <v>16055</v>
      </c>
      <c r="Q309" s="98">
        <v>16329</v>
      </c>
      <c r="R309" s="98">
        <v>107698</v>
      </c>
      <c r="S309" s="98">
        <v>125625</v>
      </c>
      <c r="T309" s="100">
        <v>138412</v>
      </c>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row>
    <row r="310" spans="1:52" ht="14.4" x14ac:dyDescent="0.3">
      <c r="A310" s="98">
        <v>138974</v>
      </c>
      <c r="B310" s="99" t="s">
        <v>1600</v>
      </c>
      <c r="C310" s="98">
        <v>60988</v>
      </c>
      <c r="D310" s="99" t="s">
        <v>820</v>
      </c>
      <c r="E310" s="99" t="s">
        <v>1166</v>
      </c>
      <c r="F310" s="99">
        <v>3050</v>
      </c>
      <c r="G310" s="99" t="s">
        <v>879</v>
      </c>
      <c r="H310" s="99" t="s">
        <v>1518</v>
      </c>
      <c r="I310" s="99" t="s">
        <v>438</v>
      </c>
      <c r="J310" s="99" t="s">
        <v>439</v>
      </c>
      <c r="K310" s="99" t="s">
        <v>440</v>
      </c>
      <c r="L310" s="98">
        <v>12427</v>
      </c>
      <c r="M310" s="98">
        <v>12492</v>
      </c>
      <c r="N310" s="98">
        <v>12971</v>
      </c>
      <c r="O310" s="98">
        <v>12989</v>
      </c>
      <c r="P310" s="98">
        <v>12997</v>
      </c>
      <c r="Q310" s="98">
        <v>13003</v>
      </c>
      <c r="R310" s="98">
        <v>60988</v>
      </c>
      <c r="S310" s="98">
        <v>132308</v>
      </c>
      <c r="T310" s="98"/>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row>
    <row r="311" spans="1:52" ht="14.4" x14ac:dyDescent="0.3">
      <c r="A311" s="98">
        <v>138982</v>
      </c>
      <c r="B311" s="99" t="s">
        <v>405</v>
      </c>
      <c r="C311" s="98">
        <v>16873</v>
      </c>
      <c r="D311" s="99" t="s">
        <v>972</v>
      </c>
      <c r="E311" s="99" t="s">
        <v>973</v>
      </c>
      <c r="F311" s="99">
        <v>8380</v>
      </c>
      <c r="G311" s="99" t="s">
        <v>974</v>
      </c>
      <c r="H311" s="99" t="s">
        <v>1519</v>
      </c>
      <c r="I311" s="99" t="s">
        <v>1617</v>
      </c>
      <c r="J311" s="99" t="s">
        <v>1618</v>
      </c>
      <c r="K311" s="99" t="s">
        <v>1619</v>
      </c>
      <c r="L311" s="98">
        <v>16873</v>
      </c>
      <c r="M311" s="98">
        <v>16881</v>
      </c>
      <c r="N311" s="98">
        <v>16899</v>
      </c>
      <c r="O311" s="98">
        <v>16949</v>
      </c>
      <c r="P311" s="98">
        <v>16956</v>
      </c>
      <c r="Q311" s="98">
        <v>16964</v>
      </c>
      <c r="R311" s="98">
        <v>17889</v>
      </c>
      <c r="S311" s="98">
        <v>45898</v>
      </c>
      <c r="T311" s="100">
        <v>110271</v>
      </c>
      <c r="U311" s="100">
        <v>110429</v>
      </c>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row>
    <row r="312" spans="1:52" ht="14.4" x14ac:dyDescent="0.3">
      <c r="A312" s="98">
        <v>138991</v>
      </c>
      <c r="B312" s="99" t="s">
        <v>1520</v>
      </c>
      <c r="C312" s="98">
        <v>110205</v>
      </c>
      <c r="D312" s="99" t="s">
        <v>942</v>
      </c>
      <c r="E312" s="99" t="s">
        <v>1184</v>
      </c>
      <c r="F312" s="99">
        <v>3680</v>
      </c>
      <c r="G312" s="99" t="s">
        <v>524</v>
      </c>
      <c r="H312" s="99" t="s">
        <v>1521</v>
      </c>
      <c r="I312" s="99" t="s">
        <v>1620</v>
      </c>
      <c r="J312" s="99" t="s">
        <v>1621</v>
      </c>
      <c r="K312" s="99" t="s">
        <v>1622</v>
      </c>
      <c r="L312" s="98">
        <v>15172</v>
      </c>
      <c r="M312" s="98">
        <v>15181</v>
      </c>
      <c r="N312" s="98">
        <v>15198</v>
      </c>
      <c r="O312" s="98">
        <v>15289</v>
      </c>
      <c r="P312" s="100">
        <v>15297</v>
      </c>
      <c r="Q312" s="100">
        <v>15305</v>
      </c>
      <c r="R312" s="100">
        <v>15313</v>
      </c>
      <c r="S312" s="100">
        <v>15347</v>
      </c>
      <c r="T312" s="100">
        <v>105461</v>
      </c>
      <c r="U312" s="100">
        <v>110205</v>
      </c>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row>
    <row r="313" spans="1:52" ht="14.4" x14ac:dyDescent="0.3">
      <c r="A313" s="98">
        <v>139006</v>
      </c>
      <c r="B313" s="99" t="s">
        <v>406</v>
      </c>
      <c r="C313" s="98">
        <v>12195</v>
      </c>
      <c r="D313" s="99" t="s">
        <v>875</v>
      </c>
      <c r="E313" s="99" t="s">
        <v>1642</v>
      </c>
      <c r="F313" s="99">
        <v>3000</v>
      </c>
      <c r="G313" s="99" t="s">
        <v>502</v>
      </c>
      <c r="H313" s="99" t="s">
        <v>1643</v>
      </c>
      <c r="I313" s="99" t="s">
        <v>438</v>
      </c>
      <c r="J313" s="99" t="s">
        <v>439</v>
      </c>
      <c r="K313" s="99" t="s">
        <v>440</v>
      </c>
      <c r="L313" s="98">
        <v>12195</v>
      </c>
      <c r="M313" s="98">
        <v>12211</v>
      </c>
      <c r="N313" s="98">
        <v>12229</v>
      </c>
      <c r="O313" s="98">
        <v>12311</v>
      </c>
      <c r="P313" s="98">
        <v>12385</v>
      </c>
      <c r="Q313" s="98">
        <v>12435</v>
      </c>
      <c r="R313" s="98">
        <v>12468</v>
      </c>
      <c r="S313" s="98">
        <v>13052</v>
      </c>
      <c r="T313" s="98">
        <v>13061</v>
      </c>
      <c r="U313" s="98">
        <v>13086</v>
      </c>
      <c r="V313" s="100">
        <v>13599</v>
      </c>
      <c r="W313" s="100">
        <v>45831</v>
      </c>
      <c r="X313" s="100">
        <v>53199</v>
      </c>
      <c r="Y313" s="100">
        <v>115485</v>
      </c>
      <c r="Z313" s="100">
        <v>115568</v>
      </c>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row>
    <row r="314" spans="1:52" ht="14.4" x14ac:dyDescent="0.3">
      <c r="A314" s="98">
        <v>139014</v>
      </c>
      <c r="B314" s="99" t="s">
        <v>392</v>
      </c>
      <c r="C314" s="98">
        <v>21031</v>
      </c>
      <c r="D314" s="99" t="s">
        <v>1063</v>
      </c>
      <c r="E314" s="99" t="s">
        <v>1065</v>
      </c>
      <c r="F314" s="99">
        <v>9000</v>
      </c>
      <c r="G314" s="99" t="s">
        <v>562</v>
      </c>
      <c r="H314" s="99" t="s">
        <v>1522</v>
      </c>
      <c r="I314" s="99" t="s">
        <v>415</v>
      </c>
      <c r="J314" s="99" t="s">
        <v>416</v>
      </c>
      <c r="K314" s="99" t="s">
        <v>1608</v>
      </c>
      <c r="L314" s="98">
        <v>20991</v>
      </c>
      <c r="M314" s="98">
        <v>21031</v>
      </c>
      <c r="N314" s="98">
        <v>21048</v>
      </c>
      <c r="O314" s="98">
        <v>21261</v>
      </c>
      <c r="P314" s="98">
        <v>22351</v>
      </c>
      <c r="Q314" s="98">
        <v>22368</v>
      </c>
      <c r="R314" s="98">
        <v>24877</v>
      </c>
      <c r="S314" s="100">
        <v>24885</v>
      </c>
      <c r="T314" s="100">
        <v>57174</v>
      </c>
      <c r="U314" s="100">
        <v>107789</v>
      </c>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row>
    <row r="315" spans="1:52" ht="14.4" x14ac:dyDescent="0.3">
      <c r="A315" s="98">
        <v>139031</v>
      </c>
      <c r="B315" s="99" t="s">
        <v>393</v>
      </c>
      <c r="C315" s="98">
        <v>26385</v>
      </c>
      <c r="D315" s="99" t="s">
        <v>985</v>
      </c>
      <c r="E315" s="99" t="s">
        <v>1148</v>
      </c>
      <c r="F315" s="99">
        <v>8200</v>
      </c>
      <c r="G315" s="99" t="s">
        <v>602</v>
      </c>
      <c r="H315" s="99" t="s">
        <v>1523</v>
      </c>
      <c r="I315" s="99" t="s">
        <v>1542</v>
      </c>
      <c r="J315" s="99" t="s">
        <v>1543</v>
      </c>
      <c r="K315" s="99" t="s">
        <v>1544</v>
      </c>
      <c r="L315" s="98">
        <v>17285</v>
      </c>
      <c r="M315" s="98">
        <v>17293</v>
      </c>
      <c r="N315" s="98"/>
      <c r="O315" s="98"/>
      <c r="P315" s="98"/>
      <c r="Q315" s="98"/>
      <c r="R315" s="98"/>
      <c r="S315" s="98"/>
      <c r="T315" s="98"/>
      <c r="U315" s="98"/>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row>
    <row r="316" spans="1:52" ht="14.4" x14ac:dyDescent="0.3">
      <c r="A316" s="98">
        <v>139048</v>
      </c>
      <c r="B316" s="99" t="s">
        <v>394</v>
      </c>
      <c r="C316" s="98">
        <v>4796</v>
      </c>
      <c r="D316" s="99" t="s">
        <v>635</v>
      </c>
      <c r="E316" s="99" t="s">
        <v>644</v>
      </c>
      <c r="F316" s="99">
        <v>1600</v>
      </c>
      <c r="G316" s="99" t="s">
        <v>433</v>
      </c>
      <c r="H316" s="99" t="s">
        <v>1524</v>
      </c>
      <c r="I316" s="99" t="s">
        <v>485</v>
      </c>
      <c r="J316" s="99" t="s">
        <v>486</v>
      </c>
      <c r="K316" s="99" t="s">
        <v>487</v>
      </c>
      <c r="L316" s="98">
        <v>4614</v>
      </c>
      <c r="M316" s="98">
        <v>4697</v>
      </c>
      <c r="N316" s="98">
        <v>4796</v>
      </c>
      <c r="O316" s="98">
        <v>5025</v>
      </c>
      <c r="P316" s="98">
        <v>5141</v>
      </c>
      <c r="Q316" s="98">
        <v>61986</v>
      </c>
      <c r="R316" s="98">
        <v>115626</v>
      </c>
      <c r="S316" s="98"/>
      <c r="T316" s="98"/>
      <c r="U316" s="98"/>
      <c r="V316" s="98"/>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row>
    <row r="317" spans="1:52" ht="14.4" x14ac:dyDescent="0.3">
      <c r="A317" s="98">
        <v>139055</v>
      </c>
      <c r="B317" s="99" t="s">
        <v>395</v>
      </c>
      <c r="C317" s="98">
        <v>5132</v>
      </c>
      <c r="D317" s="99" t="s">
        <v>661</v>
      </c>
      <c r="E317" s="99" t="s">
        <v>662</v>
      </c>
      <c r="F317" s="99">
        <v>1700</v>
      </c>
      <c r="G317" s="99" t="s">
        <v>434</v>
      </c>
      <c r="H317" s="99" t="s">
        <v>1525</v>
      </c>
      <c r="I317" s="99" t="s">
        <v>438</v>
      </c>
      <c r="J317" s="99" t="s">
        <v>439</v>
      </c>
      <c r="K317" s="99" t="s">
        <v>440</v>
      </c>
      <c r="L317" s="98">
        <v>5132</v>
      </c>
      <c r="M317" s="98">
        <v>5272</v>
      </c>
      <c r="N317" s="98">
        <v>5298</v>
      </c>
      <c r="O317" s="98">
        <v>128785</v>
      </c>
      <c r="P317" s="98"/>
      <c r="Q317" s="98"/>
      <c r="R317" s="98"/>
      <c r="S317" s="98"/>
      <c r="T317" s="98"/>
      <c r="U317" s="98"/>
      <c r="V317" s="98"/>
      <c r="W317" s="98"/>
      <c r="X317" s="98"/>
      <c r="Y317" s="98"/>
      <c r="Z317" s="98"/>
      <c r="AA317" s="98"/>
      <c r="AB317" s="98"/>
      <c r="AC317" s="98"/>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row>
    <row r="318" spans="1:52" ht="14.4" x14ac:dyDescent="0.3">
      <c r="A318" s="98">
        <v>139063</v>
      </c>
      <c r="B318" s="99" t="s">
        <v>396</v>
      </c>
      <c r="C318" s="98">
        <v>10421</v>
      </c>
      <c r="D318" s="99" t="s">
        <v>707</v>
      </c>
      <c r="E318" s="99" t="s">
        <v>826</v>
      </c>
      <c r="F318" s="99">
        <v>2610</v>
      </c>
      <c r="G318" s="99" t="s">
        <v>484</v>
      </c>
      <c r="H318" s="99" t="s">
        <v>1526</v>
      </c>
      <c r="I318" s="99" t="s">
        <v>450</v>
      </c>
      <c r="J318" s="99" t="s">
        <v>451</v>
      </c>
      <c r="K318" s="99" t="s">
        <v>452</v>
      </c>
      <c r="L318" s="98">
        <v>6387</v>
      </c>
      <c r="M318" s="98">
        <v>10405</v>
      </c>
      <c r="N318" s="98">
        <v>10413</v>
      </c>
      <c r="O318" s="98">
        <v>10421</v>
      </c>
      <c r="P318" s="98">
        <v>10538</v>
      </c>
      <c r="Q318" s="98">
        <v>118414</v>
      </c>
      <c r="R318" s="98"/>
      <c r="S318" s="98"/>
      <c r="T318" s="98"/>
      <c r="U318" s="98"/>
      <c r="V318" s="98"/>
      <c r="W318" s="98"/>
      <c r="X318" s="98"/>
      <c r="Y318" s="98"/>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row>
    <row r="319" spans="1:52" ht="14.4" x14ac:dyDescent="0.3">
      <c r="A319" s="98">
        <v>139071</v>
      </c>
      <c r="B319" s="99" t="s">
        <v>397</v>
      </c>
      <c r="C319" s="98">
        <v>117887</v>
      </c>
      <c r="D319" s="99" t="s">
        <v>634</v>
      </c>
      <c r="E319" s="99" t="s">
        <v>1202</v>
      </c>
      <c r="F319" s="99">
        <v>1500</v>
      </c>
      <c r="G319" s="99" t="s">
        <v>430</v>
      </c>
      <c r="H319" s="99" t="s">
        <v>1644</v>
      </c>
      <c r="I319" s="99" t="s">
        <v>438</v>
      </c>
      <c r="J319" s="99" t="s">
        <v>439</v>
      </c>
      <c r="K319" s="99" t="s">
        <v>440</v>
      </c>
      <c r="L319" s="98">
        <v>4606</v>
      </c>
      <c r="M319" s="98">
        <v>4771</v>
      </c>
      <c r="N319" s="98">
        <v>4788</v>
      </c>
      <c r="O319" s="98">
        <v>4812</v>
      </c>
      <c r="P319" s="98">
        <v>4853</v>
      </c>
      <c r="Q319" s="98">
        <v>4937</v>
      </c>
      <c r="R319" s="98">
        <v>4961</v>
      </c>
      <c r="S319" s="100">
        <v>55723</v>
      </c>
      <c r="T319" s="100">
        <v>102525</v>
      </c>
      <c r="U319" s="100">
        <v>117887</v>
      </c>
      <c r="V319" s="100">
        <v>131573</v>
      </c>
      <c r="W319" s="100">
        <v>143552</v>
      </c>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row>
    <row r="320" spans="1:52" ht="14.4" x14ac:dyDescent="0.3">
      <c r="A320" s="98">
        <v>139089</v>
      </c>
      <c r="B320" s="99" t="s">
        <v>1601</v>
      </c>
      <c r="C320" s="98">
        <v>1561</v>
      </c>
      <c r="D320" s="99" t="s">
        <v>1602</v>
      </c>
      <c r="E320" s="99" t="s">
        <v>521</v>
      </c>
      <c r="F320" s="99">
        <v>3600</v>
      </c>
      <c r="G320" s="99" t="s">
        <v>520</v>
      </c>
      <c r="H320" s="99" t="s">
        <v>1527</v>
      </c>
      <c r="I320" s="99" t="s">
        <v>1620</v>
      </c>
      <c r="J320" s="99" t="s">
        <v>1621</v>
      </c>
      <c r="K320" s="99" t="s">
        <v>1622</v>
      </c>
      <c r="L320" s="98">
        <v>1438</v>
      </c>
      <c r="M320" s="98">
        <v>1495</v>
      </c>
      <c r="N320" s="98">
        <v>1537</v>
      </c>
      <c r="O320" s="98">
        <v>1545</v>
      </c>
      <c r="P320" s="98">
        <v>1552</v>
      </c>
      <c r="Q320" s="98">
        <v>1561</v>
      </c>
      <c r="R320" s="98">
        <v>1578</v>
      </c>
      <c r="S320" s="98">
        <v>1602</v>
      </c>
      <c r="T320" s="100">
        <v>1611</v>
      </c>
      <c r="U320" s="100">
        <v>1628</v>
      </c>
      <c r="V320" s="100">
        <v>1636</v>
      </c>
      <c r="W320" s="100">
        <v>1644</v>
      </c>
      <c r="X320" s="100">
        <v>1651</v>
      </c>
      <c r="Y320" s="100">
        <v>1669</v>
      </c>
      <c r="Z320" s="100">
        <v>1677</v>
      </c>
      <c r="AA320" s="100">
        <v>1685</v>
      </c>
      <c r="AB320" s="100">
        <v>53348</v>
      </c>
      <c r="AC320" s="100">
        <v>61218</v>
      </c>
      <c r="AD320" s="100">
        <v>138421</v>
      </c>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row>
    <row r="321" spans="1:52" ht="14.4" x14ac:dyDescent="0.3">
      <c r="A321" s="98">
        <v>139097</v>
      </c>
      <c r="B321" s="99" t="s">
        <v>407</v>
      </c>
      <c r="C321" s="98">
        <v>16345</v>
      </c>
      <c r="D321" s="99" t="s">
        <v>746</v>
      </c>
      <c r="E321" s="99" t="s">
        <v>961</v>
      </c>
      <c r="F321" s="99">
        <v>3920</v>
      </c>
      <c r="G321" s="99" t="s">
        <v>601</v>
      </c>
      <c r="H321" s="99" t="s">
        <v>1528</v>
      </c>
      <c r="I321" s="99" t="s">
        <v>1620</v>
      </c>
      <c r="J321" s="99" t="s">
        <v>1621</v>
      </c>
      <c r="K321" s="99" t="s">
        <v>1622</v>
      </c>
      <c r="L321" s="98">
        <v>16337</v>
      </c>
      <c r="M321" s="98">
        <v>16345</v>
      </c>
      <c r="N321" s="98">
        <v>16352</v>
      </c>
      <c r="O321" s="98">
        <v>16361</v>
      </c>
      <c r="P321" s="100">
        <v>16378</v>
      </c>
      <c r="Q321" s="100">
        <v>16386</v>
      </c>
      <c r="R321" s="100">
        <v>16394</v>
      </c>
      <c r="S321" s="100">
        <v>16402</v>
      </c>
      <c r="T321" s="100">
        <v>16411</v>
      </c>
      <c r="U321" s="100">
        <v>16428</v>
      </c>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row>
    <row r="322" spans="1:52" ht="14.4" x14ac:dyDescent="0.3">
      <c r="A322" s="98">
        <v>139105</v>
      </c>
      <c r="B322" s="99" t="s">
        <v>398</v>
      </c>
      <c r="C322" s="98">
        <v>124339</v>
      </c>
      <c r="D322" s="99" t="s">
        <v>1210</v>
      </c>
      <c r="E322" s="99" t="s">
        <v>1211</v>
      </c>
      <c r="F322" s="99">
        <v>1070</v>
      </c>
      <c r="G322" s="99" t="s">
        <v>619</v>
      </c>
      <c r="H322" s="99" t="s">
        <v>1529</v>
      </c>
      <c r="I322" s="99" t="s">
        <v>438</v>
      </c>
      <c r="J322" s="99" t="s">
        <v>439</v>
      </c>
      <c r="K322" s="99" t="s">
        <v>440</v>
      </c>
      <c r="L322" s="98">
        <v>124339</v>
      </c>
      <c r="M322" s="98">
        <v>128256</v>
      </c>
      <c r="N322" s="98">
        <v>130948</v>
      </c>
      <c r="O322" s="98">
        <v>132076</v>
      </c>
      <c r="P322" s="98"/>
      <c r="Q322" s="98"/>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row>
    <row r="323" spans="1:52" ht="14.4" x14ac:dyDescent="0.3">
      <c r="A323" s="98">
        <v>139139</v>
      </c>
      <c r="B323" s="99" t="s">
        <v>399</v>
      </c>
      <c r="C323" s="98">
        <v>22889</v>
      </c>
      <c r="D323" s="99" t="s">
        <v>1096</v>
      </c>
      <c r="E323" s="99" t="s">
        <v>1097</v>
      </c>
      <c r="F323" s="99">
        <v>9308</v>
      </c>
      <c r="G323" s="99" t="s">
        <v>501</v>
      </c>
      <c r="H323" s="99" t="s">
        <v>1603</v>
      </c>
      <c r="I323" s="99" t="s">
        <v>415</v>
      </c>
      <c r="J323" s="99" t="s">
        <v>416</v>
      </c>
      <c r="K323" s="99" t="s">
        <v>1608</v>
      </c>
      <c r="L323" s="98">
        <v>5389</v>
      </c>
      <c r="M323" s="98">
        <v>22871</v>
      </c>
      <c r="N323" s="98">
        <v>22889</v>
      </c>
      <c r="O323" s="98">
        <v>23333</v>
      </c>
      <c r="P323" s="98">
        <v>23341</v>
      </c>
      <c r="Q323" s="98">
        <v>23366</v>
      </c>
      <c r="R323" s="98">
        <v>23374</v>
      </c>
      <c r="S323" s="98">
        <v>23424</v>
      </c>
      <c r="T323" s="98">
        <v>104851</v>
      </c>
      <c r="U323" s="98"/>
      <c r="V323" s="98"/>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row>
    <row r="324" spans="1:52" ht="14.4" x14ac:dyDescent="0.3">
      <c r="A324" s="98">
        <v>139147</v>
      </c>
      <c r="B324" s="99" t="s">
        <v>400</v>
      </c>
      <c r="C324" s="98">
        <v>12856</v>
      </c>
      <c r="D324" s="99" t="s">
        <v>893</v>
      </c>
      <c r="E324" s="99" t="s">
        <v>896</v>
      </c>
      <c r="F324" s="99">
        <v>2230</v>
      </c>
      <c r="G324" s="99" t="s">
        <v>504</v>
      </c>
      <c r="H324" s="99" t="s">
        <v>1530</v>
      </c>
      <c r="I324" s="99" t="s">
        <v>1620</v>
      </c>
      <c r="J324" s="99" t="s">
        <v>1621</v>
      </c>
      <c r="K324" s="99" t="s">
        <v>1622</v>
      </c>
      <c r="L324" s="98">
        <v>12831</v>
      </c>
      <c r="M324" s="98">
        <v>12856</v>
      </c>
      <c r="N324" s="98">
        <v>12864</v>
      </c>
      <c r="O324" s="98">
        <v>12914</v>
      </c>
      <c r="P324" s="98"/>
      <c r="Q324" s="98"/>
      <c r="R324" s="98"/>
      <c r="S324" s="98"/>
      <c r="T324" s="98"/>
      <c r="U324" s="98"/>
      <c r="V324" s="98"/>
      <c r="W324" s="98"/>
      <c r="X324" s="98"/>
      <c r="Y324" s="98"/>
      <c r="Z324" s="98"/>
      <c r="AA324" s="98"/>
      <c r="AB324" s="98"/>
      <c r="AC324" s="98"/>
      <c r="AD324" s="98"/>
      <c r="AE324" s="98"/>
      <c r="AF324" s="98"/>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row>
    <row r="325" spans="1:52" ht="14.4" x14ac:dyDescent="0.3">
      <c r="A325" s="98"/>
      <c r="B325" s="99"/>
      <c r="C325" s="98"/>
      <c r="D325" s="99"/>
      <c r="E325" s="99"/>
      <c r="F325" s="99"/>
      <c r="G325" s="99"/>
      <c r="H325" s="99"/>
      <c r="I325" s="99"/>
      <c r="J325" s="99"/>
      <c r="K325" s="99"/>
      <c r="L325" s="98"/>
      <c r="M325" s="98"/>
      <c r="N325" s="98"/>
      <c r="O325" s="98"/>
      <c r="P325" s="98"/>
      <c r="Q325" s="98"/>
      <c r="R325" s="98"/>
      <c r="S325" s="98"/>
      <c r="T325" s="98"/>
      <c r="U325" s="98"/>
      <c r="V325" s="98"/>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row>
    <row r="326" spans="1:52" ht="14.4" x14ac:dyDescent="0.3">
      <c r="A326" s="98"/>
      <c r="B326" s="99"/>
      <c r="C326" s="98"/>
      <c r="D326" s="99"/>
      <c r="E326" s="99"/>
      <c r="F326" s="99"/>
      <c r="G326" s="99"/>
      <c r="H326" s="99"/>
      <c r="I326" s="99"/>
      <c r="J326" s="99"/>
      <c r="K326" s="99"/>
      <c r="L326" s="98"/>
      <c r="M326" s="98"/>
      <c r="N326" s="98"/>
      <c r="O326" s="98"/>
      <c r="P326" s="98"/>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row>
    <row r="327" spans="1:52" ht="14.4" x14ac:dyDescent="0.3">
      <c r="A327" s="98"/>
      <c r="B327" s="99"/>
      <c r="C327" s="98"/>
      <c r="D327" s="99"/>
      <c r="E327" s="99"/>
      <c r="F327" s="99"/>
      <c r="G327" s="99"/>
      <c r="H327" s="99"/>
      <c r="I327" s="99"/>
      <c r="J327" s="99"/>
      <c r="K327" s="99"/>
      <c r="L327" s="98"/>
      <c r="M327" s="98"/>
      <c r="N327" s="98"/>
      <c r="O327" s="98"/>
      <c r="P327" s="98"/>
      <c r="Q327" s="98"/>
      <c r="R327" s="98"/>
      <c r="S327" s="98"/>
      <c r="T327" s="98"/>
      <c r="U327" s="98"/>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row>
    <row r="328" spans="1:52" ht="14.4" x14ac:dyDescent="0.3">
      <c r="A328" s="98"/>
      <c r="B328" s="99"/>
      <c r="C328" s="98"/>
      <c r="D328" s="99"/>
      <c r="E328" s="99"/>
      <c r="F328" s="99"/>
      <c r="G328" s="99"/>
      <c r="H328" s="99"/>
      <c r="I328" s="99"/>
      <c r="J328" s="99"/>
      <c r="K328" s="99"/>
      <c r="L328" s="98"/>
      <c r="M328" s="98"/>
      <c r="N328" s="98"/>
      <c r="O328" s="98"/>
      <c r="P328" s="98"/>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row>
  </sheetData>
  <sheetProtection algorithmName="SHA-512" hashValue="mLG9KbwRHpm9p3Y3/QNXHR9CLlqg+szKErwA3COgp0JjmSozhYF8wxym4i1oHDIJuVF3szfJ/tFM8EPJSjF+bQ==" saltValue="U1i2DxUCd6Tga3xSDLQ2XA==" spinCount="100000" sheet="1" objects="1" scenarios="1"/>
  <phoneticPr fontId="0" type="noConversion"/>
  <conditionalFormatting sqref="A1:A1048576">
    <cfRule type="duplicateValues" dxfId="0" priority="1"/>
  </conditionalFormatting>
  <pageMargins left="0.74803149606299213" right="0.74803149606299213" top="0.98425196850393704" bottom="0.98425196850393704" header="0.51181102362204722" footer="0.51181102362204722"/>
  <pageSetup paperSize="9" scale="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ACF9D264366848B80184CD9DFAF169" ma:contentTypeVersion="0" ma:contentTypeDescription="Een nieuw document maken." ma:contentTypeScope="" ma:versionID="78785755eeddda9ec175f9e66814904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572407-074A-4569-A22A-CEBDD5E5B5B4}">
  <ds:schemaRefs>
    <ds:schemaRef ds:uri="http://schemas.microsoft.com/sharepoint/v3/contenttype/forms"/>
  </ds:schemaRefs>
</ds:datastoreItem>
</file>

<file path=customXml/itemProps2.xml><?xml version="1.0" encoding="utf-8"?>
<ds:datastoreItem xmlns:ds="http://schemas.openxmlformats.org/officeDocument/2006/customXml" ds:itemID="{1D365A23-D194-4416-B014-0D352D9B9A38}">
  <ds:schemaRefs>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79E767F-3DC9-46EB-93E6-5BD4B0325A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AN per SG geteld</vt:lpstr>
      <vt:lpstr>Blad2</vt:lpstr>
      <vt:lpstr>instellingsgegevens</vt:lpstr>
      <vt:lpstr>'AN per SG geteld'!Afdrukbereik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2023-11-13T10:15:40Z</cp:lastPrinted>
  <dcterms:created xsi:type="dcterms:W3CDTF">1999-07-16T11:34:31Z</dcterms:created>
  <dcterms:modified xsi:type="dcterms:W3CDTF">2023-11-13T10:16:13Z</dcterms:modified>
</cp:coreProperties>
</file>