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96" tabRatio="767" activeTab="0"/>
  </bookViews>
  <sheets>
    <sheet name="INHOUD" sheetId="1" r:id="rId1"/>
    <sheet name="TOELICHTING" sheetId="2" r:id="rId2"/>
    <sheet name="17PALG01" sheetId="3" r:id="rId3"/>
    <sheet name="17PALG02" sheetId="4" r:id="rId4"/>
    <sheet name="17PALG03" sheetId="5" r:id="rId5"/>
    <sheet name="17PALG04" sheetId="6" r:id="rId6"/>
    <sheet name="17PALG05" sheetId="7" r:id="rId7"/>
    <sheet name="17PALG06" sheetId="8" r:id="rId8"/>
    <sheet name="17PALG07" sheetId="9" r:id="rId9"/>
    <sheet name="17PALG08" sheetId="10" r:id="rId10"/>
    <sheet name="17PALG09" sheetId="11" r:id="rId11"/>
    <sheet name="17PALG10" sheetId="12" r:id="rId12"/>
    <sheet name="17PALG11" sheetId="13" r:id="rId13"/>
    <sheet name="17PALG12" sheetId="14" r:id="rId14"/>
  </sheets>
  <definedNames>
    <definedName name="_xlnm.Print_Area" localSheetId="3">'17PALG02'!$A$1:$I$65</definedName>
    <definedName name="_xlnm.Print_Area" localSheetId="4">'17PALG03'!$A$1:$I$72</definedName>
    <definedName name="_xlnm.Print_Area" localSheetId="7">'17PALG06'!$A$1:$S$76</definedName>
    <definedName name="_xlnm.Print_Area" localSheetId="9">'17PALG08'!$A$1:$I$66</definedName>
    <definedName name="_xlnm.Print_Area" localSheetId="11">'17PALG10'!$A$1:$S$84</definedName>
    <definedName name="_xlnm.Print_Area" localSheetId="12">'17PALG11'!$A$1:$S$78</definedName>
    <definedName name="_xlnm.Print_Area" localSheetId="13">'17PALG12'!$A$1:$I$71</definedName>
  </definedNames>
  <calcPr fullCalcOnLoad="1"/>
</workbook>
</file>

<file path=xl/sharedStrings.xml><?xml version="1.0" encoding="utf-8"?>
<sst xmlns="http://schemas.openxmlformats.org/spreadsheetml/2006/main" count="868" uniqueCount="126">
  <si>
    <t xml:space="preserve"> </t>
  </si>
  <si>
    <t xml:space="preserve">PERSONEEL PER ONDERWIJSNIVEAU </t>
  </si>
  <si>
    <t>Bestuurs- en onderwijzend personeel</t>
  </si>
  <si>
    <t>Andere personeelscategorieën</t>
  </si>
  <si>
    <t>Totaal</t>
  </si>
  <si>
    <t>Mannen</t>
  </si>
  <si>
    <t>Vrouwen</t>
  </si>
  <si>
    <t>Gewoon basisonderwijs</t>
  </si>
  <si>
    <t xml:space="preserve">  Privaatrechtelijk</t>
  </si>
  <si>
    <t xml:space="preserve">  Provincie</t>
  </si>
  <si>
    <t xml:space="preserve">  Gemeente</t>
  </si>
  <si>
    <t>Buitengewoon basisonderwijs</t>
  </si>
  <si>
    <t>Gewoon secundair onderwijs</t>
  </si>
  <si>
    <t>Buitengewoon secundair onderwijs</t>
  </si>
  <si>
    <t>Hogescholenonderwijs</t>
  </si>
  <si>
    <t>Deeltijds kunstonderwijs</t>
  </si>
  <si>
    <t xml:space="preserve">  Vlaamse Gemeenschap</t>
  </si>
  <si>
    <t>BESTUURS- EN ONDERWIJZEND PERSONEEL PER ONDERWIJSNIVEAU, NAAR STATUUT</t>
  </si>
  <si>
    <t xml:space="preserve">  Vastbenoemden</t>
  </si>
  <si>
    <t xml:space="preserve">  Tijdelijken</t>
  </si>
  <si>
    <t>ANDERE PERSONEELSCATEGORIEËN PER ONDERWIJSNIVEAU, NAAR STATUUT</t>
  </si>
  <si>
    <t>(2) Personeel van centra voor leerlingenbegeleiding, onderwijsinspectie, pedagogische begeleiding, internaten, ...</t>
  </si>
  <si>
    <t>PERSONEEL PER ONDERWIJSNIVEAU</t>
  </si>
  <si>
    <t>BESTUURS- EN ONDERWIJZEND PERSONEEL NAAR LEEFTIJD, STATUUT EN GESLACHT</t>
  </si>
  <si>
    <t>Vastbenoemden</t>
  </si>
  <si>
    <t>Tijdelijken</t>
  </si>
  <si>
    <t>Leeftijd</t>
  </si>
  <si>
    <t>20-24</t>
  </si>
  <si>
    <t>25-29</t>
  </si>
  <si>
    <t>30-34</t>
  </si>
  <si>
    <t>35-39</t>
  </si>
  <si>
    <t>40-44</t>
  </si>
  <si>
    <t>45-49</t>
  </si>
  <si>
    <t>50-54</t>
  </si>
  <si>
    <t>55-59</t>
  </si>
  <si>
    <t>60+</t>
  </si>
  <si>
    <t>Aantal personen met volledige opdracht</t>
  </si>
  <si>
    <t>Aantal personen met gedeeltelijke opdracht</t>
  </si>
  <si>
    <t>BESTUURS- EN ONDERWIJZEND PERSONEEL PER ONDERWIJSNIVEAU, NAARGELANG DE OPDRACHT</t>
  </si>
  <si>
    <t>ANDERE PERSONEELSCATEGORIEËN NAAR LEEFTIJD, STATUUT EN GESLACHT</t>
  </si>
  <si>
    <t>(1) Inclusief personeel van centra voor leerlingenbegeleiding, onderwijsinspectie, pedagogische begeleiding, internaten, ...</t>
  </si>
  <si>
    <t>Andere (2)</t>
  </si>
  <si>
    <t xml:space="preserve">  Gemeenschapsonderwijs</t>
  </si>
  <si>
    <t>Totaal bestuurs- en</t>
  </si>
  <si>
    <t>ANDERE PERSONEELSCATEGORIEËN PER ONDERWIJSNIVEAU, NAARGELANG DE OPDRACHT</t>
  </si>
  <si>
    <t>Secundair volwassenenonderwijs</t>
  </si>
  <si>
    <t>Hoger beroepsonderwijs van het volwassenenonderwijs</t>
  </si>
  <si>
    <t xml:space="preserve">Aantal personen (inclusief alle vervangingen, TBS+ en Bonus) - januari </t>
  </si>
  <si>
    <t>Basiseducatie</t>
  </si>
  <si>
    <t xml:space="preserve">   2009-2010</t>
  </si>
  <si>
    <t>PERSONEEL</t>
  </si>
  <si>
    <t>Budgettaire fulltime-equivalenten</t>
  </si>
  <si>
    <t xml:space="preserve">Personeel per onderwijsniveau </t>
  </si>
  <si>
    <t>Bestuurs- en onderwijzend personeel per onderwijsniveau, naar statuut</t>
  </si>
  <si>
    <t>Andere personeelscategorieën per onderwijsniveau, naar statuut</t>
  </si>
  <si>
    <t>Aantal personen</t>
  </si>
  <si>
    <t>Personeel per onderwijsniveau</t>
  </si>
  <si>
    <t>Bestuurs- en onderwijzend personeel naar leeftijd, statuut en geslacht</t>
  </si>
  <si>
    <t>Bestuurs- en onderwijzend personeel per onderwijsniveau, naargelang de opdracht</t>
  </si>
  <si>
    <t>Andere personeelscategorieën naar leeftijd, statuut en geslacht</t>
  </si>
  <si>
    <t>Andere personeelscategorieën per onderwijsniveau naargelang de opdracht</t>
  </si>
  <si>
    <t>(1) Zie toelichting op het tweede tabblad van deze werkmap.</t>
  </si>
  <si>
    <t>Totaal andere</t>
  </si>
  <si>
    <t>personeelscategorieën (met basiseducatie)</t>
  </si>
  <si>
    <t xml:space="preserve">Aantal personen (inclusief alle vervangingen, TBS+ en Bonus) -  januari </t>
  </si>
  <si>
    <t>2010-2011</t>
  </si>
  <si>
    <t>2011-2012</t>
  </si>
  <si>
    <t>2012-2013</t>
  </si>
  <si>
    <t xml:space="preserve">Aantal budgettaire fulltime-equivalenten (inclusief alle vervangingen, TBS+ en Bonus) - januari  </t>
  </si>
  <si>
    <t xml:space="preserve">Aantal personen met gedeeltelijke opdracht </t>
  </si>
  <si>
    <t xml:space="preserve">Aantal personen met volledige opdracht </t>
  </si>
  <si>
    <t xml:space="preserve">   2012-2013 </t>
  </si>
  <si>
    <t xml:space="preserve">   2012-2013</t>
  </si>
  <si>
    <t>HBO5 verpleegkunde (1)</t>
  </si>
  <si>
    <t>BESTUURS- EN ONDERWIJZEND PERSONEEL PER ONDERWIJSNIVEAU EN SOORT SCHOOLBESTUUR, NAARGELANG DE OPDRACHT</t>
  </si>
  <si>
    <t>ANDERE PERSONEELSCATEGORIEËN PER ONDERWIJSNIVEAU EN SOORT SCHOOLBESTUUR, NAARGELANG DE OPDRACHT</t>
  </si>
  <si>
    <t>Andere personeelscategorieën per onderwijsniveau en soort schoolbestuur, naargelang de opdracht</t>
  </si>
  <si>
    <t>Bestuurs- en onderwijzend personeel per onderwijsniveau en soort schoolbestuur, naargelang de opdracht</t>
  </si>
  <si>
    <t>2013-2014</t>
  </si>
  <si>
    <t>2014-2015</t>
  </si>
  <si>
    <t>2015-2016</t>
  </si>
  <si>
    <t>Totaal bestuurs- en onderwijzend personeel</t>
  </si>
  <si>
    <t xml:space="preserve">Totaal andere personeelscategorieën </t>
  </si>
  <si>
    <t xml:space="preserve">Algemeen totaal </t>
  </si>
  <si>
    <t xml:space="preserve">ALLE ONDERWIJSNIVEAUS </t>
  </si>
  <si>
    <t xml:space="preserve">onderwijzend personeel </t>
  </si>
  <si>
    <t xml:space="preserve">   2015-2016</t>
  </si>
  <si>
    <t>ALLE ONDERWIJSNIVEAUS  (1)</t>
  </si>
  <si>
    <t xml:space="preserve">Totaal bestuurs- en onderwijzend personeel </t>
  </si>
  <si>
    <t>ANDERE PERSONEELSCATEGORIEËN NAAR LEEFTIJD (60 jaar of ouder), STATUUT EN GESLACHT</t>
  </si>
  <si>
    <t>60, exclusief TBS, bonus</t>
  </si>
  <si>
    <t>61, exclusief TBS, bonus</t>
  </si>
  <si>
    <t>62, exclusief TBS, bonus</t>
  </si>
  <si>
    <t>63, exclusief TBS, bonus</t>
  </si>
  <si>
    <t>64, exclusief TBS, bonus</t>
  </si>
  <si>
    <t>65, exclusief TBS, bonus</t>
  </si>
  <si>
    <t>60-65, TBS, bonus</t>
  </si>
  <si>
    <t>66, exclusief TBS, bonus</t>
  </si>
  <si>
    <t>67, exclusief TBS, bonus</t>
  </si>
  <si>
    <t>68+, exclusief TBS, bonus</t>
  </si>
  <si>
    <t>2016-2017</t>
  </si>
  <si>
    <t>Schooljaar 2017-2018</t>
  </si>
  <si>
    <t xml:space="preserve">Aantal budgettaire fulltime-equivalenten (inclusief alle vervangingen, TBS+ en Bonus) - januari 2018 </t>
  </si>
  <si>
    <t>2017-2018</t>
  </si>
  <si>
    <t>Aantal personen (inclusief alle vervangingen, TBS+ en Bonus) -  januari 2018</t>
  </si>
  <si>
    <t>Aantal personen (inclusief alle vervangingen, TBS+ en Bonus) - januari 2018</t>
  </si>
  <si>
    <t xml:space="preserve">   2017-2018</t>
  </si>
  <si>
    <t>-</t>
  </si>
  <si>
    <t>17PALG01</t>
  </si>
  <si>
    <t>17PALG02</t>
  </si>
  <si>
    <t>17PALG03</t>
  </si>
  <si>
    <t>17PALG04</t>
  </si>
  <si>
    <t>17PALG05</t>
  </si>
  <si>
    <t>17PALG06</t>
  </si>
  <si>
    <t>17PALG07</t>
  </si>
  <si>
    <t>17PALG08</t>
  </si>
  <si>
    <t>17PALG09</t>
  </si>
  <si>
    <t>17PALG10</t>
  </si>
  <si>
    <t>17PALG11</t>
  </si>
  <si>
    <t>17PALG12</t>
  </si>
  <si>
    <t>HBO5 verpleegkunde</t>
  </si>
  <si>
    <t>(1) Personeel van centra voor leerlingenbegeleiding, onderwijsinspectie, pedagogische begeleiding, internaten, ...</t>
  </si>
  <si>
    <t>Andere (1)</t>
  </si>
  <si>
    <r>
      <t>BESTUURS- EN ONDERWIJZEND PERSONEEL NAAR LEEFTIJD (</t>
    </r>
    <r>
      <rPr>
        <b/>
        <sz val="10"/>
        <color indexed="10"/>
        <rFont val="Arial"/>
        <family val="2"/>
      </rPr>
      <t>60 jaar of ouder)</t>
    </r>
    <r>
      <rPr>
        <b/>
        <sz val="10"/>
        <rFont val="Arial"/>
        <family val="2"/>
      </rPr>
      <t>, STATUUT EN GESLACHT</t>
    </r>
  </si>
  <si>
    <t>Toelichting</t>
  </si>
  <si>
    <t>Toelichting over onderwijspersoneel</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</si>
</sst>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quot;"/>
    <numFmt numFmtId="165" formatCode="0.0"/>
    <numFmt numFmtId="166" formatCode="0.000000"/>
    <numFmt numFmtId="167" formatCode="#,##0.0"/>
    <numFmt numFmtId="168" formatCode="0.000%"/>
    <numFmt numFmtId="169" formatCode="0.0%"/>
    <numFmt numFmtId="170" formatCode="0.0000%"/>
  </numFmts>
  <fonts count="49">
    <font>
      <sz val="10"/>
      <name val="Arial"/>
      <family val="0"/>
    </font>
    <font>
      <sz val="11"/>
      <color indexed="8"/>
      <name val="Calibri"/>
      <family val="2"/>
    </font>
    <font>
      <b/>
      <sz val="10"/>
      <name val="Arial"/>
      <family val="2"/>
    </font>
    <font>
      <sz val="10"/>
      <name val="MS Sans Serif"/>
      <family val="2"/>
    </font>
    <font>
      <sz val="9"/>
      <name val="Arial"/>
      <family val="2"/>
    </font>
    <font>
      <sz val="10"/>
      <name val="Helv"/>
      <family val="0"/>
    </font>
    <font>
      <sz val="10"/>
      <name val="Optimum"/>
      <family val="0"/>
    </font>
    <font>
      <u val="single"/>
      <sz val="10"/>
      <color indexed="12"/>
      <name val="Arial"/>
      <family val="2"/>
    </font>
    <font>
      <sz val="8"/>
      <name val="Arial"/>
      <family val="2"/>
    </font>
    <font>
      <b/>
      <sz val="12"/>
      <name val="Arial"/>
      <family val="2"/>
    </font>
    <font>
      <b/>
      <sz val="10"/>
      <color indexed="10"/>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sz val="10"/>
      <color indexed="8"/>
      <name val="Arial"/>
      <family val="2"/>
    </font>
    <font>
      <b/>
      <sz val="12"/>
      <color indexed="8"/>
      <name val="Calibri"/>
      <family val="2"/>
    </font>
    <font>
      <b/>
      <u val="single"/>
      <sz val="11"/>
      <color indexed="8"/>
      <name val="Calibri"/>
      <family val="2"/>
    </font>
    <font>
      <i/>
      <sz val="11"/>
      <color indexed="8"/>
      <name val="Calibri"/>
      <family val="2"/>
    </font>
    <font>
      <b/>
      <i/>
      <u val="single"/>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style="thin"/>
      <right/>
      <top/>
      <bottom/>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bottom/>
    </border>
    <border>
      <left/>
      <right style="thin"/>
      <top/>
      <bottom style="thin"/>
    </border>
    <border>
      <left style="thin"/>
      <right/>
      <top/>
      <bottom style="thin"/>
    </border>
    <border>
      <left/>
      <right style="thin"/>
      <top style="thin"/>
      <bottom/>
    </border>
    <border diagonalUp="1">
      <left style="thin"/>
      <right/>
      <top>
        <color indexed="63"/>
      </top>
      <bottom/>
      <diagonal style="thin">
        <color theme="2"/>
      </diagonal>
    </border>
    <border diagonalUp="1">
      <left/>
      <right/>
      <top>
        <color indexed="63"/>
      </top>
      <bottom/>
      <diagonal style="thin">
        <color theme="2"/>
      </diagonal>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5"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3" fontId="3" fillId="0" borderId="0" applyFont="0" applyFill="0" applyBorder="0" applyAlignment="0" applyProtection="0"/>
    <xf numFmtId="4" fontId="5"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0" fontId="7" fillId="0" borderId="0" applyNumberFormat="0" applyFill="0" applyBorder="0" applyAlignment="0" applyProtection="0"/>
    <xf numFmtId="0" fontId="3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4" fontId="5" fillId="0" borderId="0" applyFont="0" applyFill="0" applyBorder="0" applyAlignment="0" applyProtection="0"/>
    <xf numFmtId="0" fontId="0" fillId="31" borderId="7" applyNumberFormat="0" applyFont="0" applyAlignment="0" applyProtection="0"/>
    <xf numFmtId="0" fontId="42" fillId="32" borderId="0" applyNumberFormat="0" applyBorder="0" applyAlignment="0" applyProtection="0"/>
    <xf numFmtId="169" fontId="3" fillId="0" borderId="0" applyFont="0" applyFill="0" applyBorder="0" applyAlignment="0" applyProtection="0"/>
    <xf numFmtId="10" fontId="3" fillId="0" borderId="0">
      <alignment/>
      <protection/>
    </xf>
    <xf numFmtId="168" fontId="3" fillId="0" borderId="0" applyFont="0" applyFill="0" applyBorder="0" applyAlignment="0" applyProtection="0"/>
    <xf numFmtId="170" fontId="6" fillId="0" borderId="0" applyFon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245">
    <xf numFmtId="0" fontId="0" fillId="0" borderId="0" xfId="0" applyAlignment="1">
      <alignment/>
    </xf>
    <xf numFmtId="3" fontId="2"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0" applyFont="1" applyAlignment="1">
      <alignment/>
    </xf>
    <xf numFmtId="3" fontId="2" fillId="0" borderId="0" xfId="0" applyNumberFormat="1" applyFont="1" applyAlignment="1">
      <alignment horizontal="centerContinuous"/>
    </xf>
    <xf numFmtId="3" fontId="0" fillId="0" borderId="0" xfId="0" applyNumberFormat="1" applyFont="1" applyAlignment="1">
      <alignment horizontal="centerContinuous"/>
    </xf>
    <xf numFmtId="0" fontId="0" fillId="0" borderId="0" xfId="0" applyFont="1" applyAlignment="1">
      <alignment horizontal="centerContinuous"/>
    </xf>
    <xf numFmtId="3" fontId="0" fillId="0" borderId="10" xfId="0" applyNumberFormat="1" applyFont="1" applyBorder="1" applyAlignment="1">
      <alignment/>
    </xf>
    <xf numFmtId="3" fontId="0" fillId="0" borderId="11" xfId="0" applyNumberFormat="1" applyFont="1" applyBorder="1" applyAlignment="1">
      <alignment horizontal="centerContinuous"/>
    </xf>
    <xf numFmtId="3" fontId="0" fillId="0" borderId="10" xfId="0" applyNumberFormat="1" applyFont="1" applyBorder="1" applyAlignment="1">
      <alignment horizontal="centerContinuous"/>
    </xf>
    <xf numFmtId="164" fontId="0" fillId="0" borderId="12" xfId="0" applyNumberFormat="1" applyFont="1" applyBorder="1" applyAlignment="1">
      <alignment/>
    </xf>
    <xf numFmtId="164" fontId="0" fillId="0" borderId="0" xfId="0" applyNumberFormat="1" applyFont="1" applyAlignment="1">
      <alignment/>
    </xf>
    <xf numFmtId="164" fontId="0" fillId="0" borderId="12" xfId="0" applyNumberFormat="1" applyFont="1" applyBorder="1" applyAlignment="1">
      <alignment horizontal="right"/>
    </xf>
    <xf numFmtId="3"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14" xfId="0" applyNumberFormat="1" applyFont="1" applyBorder="1" applyAlignment="1">
      <alignment horizontal="right"/>
    </xf>
    <xf numFmtId="0" fontId="2" fillId="0" borderId="0" xfId="0" applyFont="1" applyAlignment="1">
      <alignment horizontal="right"/>
    </xf>
    <xf numFmtId="164" fontId="0" fillId="0" borderId="0" xfId="0" applyNumberFormat="1" applyFont="1" applyAlignment="1">
      <alignment horizontal="right"/>
    </xf>
    <xf numFmtId="3" fontId="2" fillId="0" borderId="0" xfId="0" applyNumberFormat="1" applyFont="1" applyAlignment="1">
      <alignment horizontal="right"/>
    </xf>
    <xf numFmtId="164" fontId="2" fillId="0" borderId="12" xfId="0" applyNumberFormat="1" applyFont="1" applyBorder="1" applyAlignment="1">
      <alignment horizontal="right"/>
    </xf>
    <xf numFmtId="164" fontId="2" fillId="0" borderId="0" xfId="0" applyNumberFormat="1" applyFont="1" applyBorder="1" applyAlignment="1">
      <alignment horizontal="right"/>
    </xf>
    <xf numFmtId="3" fontId="0" fillId="0" borderId="0" xfId="0" applyNumberFormat="1" applyFont="1" applyAlignment="1">
      <alignment horizontal="left"/>
    </xf>
    <xf numFmtId="164" fontId="2" fillId="0" borderId="12" xfId="0" applyNumberFormat="1" applyFont="1" applyBorder="1" applyAlignment="1">
      <alignment/>
    </xf>
    <xf numFmtId="164" fontId="2" fillId="0" borderId="0" xfId="0" applyNumberFormat="1" applyFont="1" applyBorder="1" applyAlignment="1">
      <alignment/>
    </xf>
    <xf numFmtId="164" fontId="0" fillId="0" borderId="0" xfId="0" applyNumberFormat="1" applyFont="1" applyBorder="1" applyAlignment="1">
      <alignment/>
    </xf>
    <xf numFmtId="3" fontId="2" fillId="0" borderId="0" xfId="67" applyNumberFormat="1" applyFont="1">
      <alignment/>
      <protection/>
    </xf>
    <xf numFmtId="0" fontId="0" fillId="0" borderId="0" xfId="67" applyFont="1">
      <alignment/>
      <protection/>
    </xf>
    <xf numFmtId="3" fontId="0" fillId="0" borderId="0" xfId="67" applyNumberFormat="1" applyFont="1">
      <alignment/>
      <protection/>
    </xf>
    <xf numFmtId="3" fontId="2" fillId="0" borderId="0" xfId="67" applyNumberFormat="1" applyFont="1" applyAlignment="1">
      <alignment/>
      <protection/>
    </xf>
    <xf numFmtId="0" fontId="0" fillId="0" borderId="0" xfId="67" applyFont="1" applyAlignment="1">
      <alignment/>
      <protection/>
    </xf>
    <xf numFmtId="3" fontId="0" fillId="0" borderId="10" xfId="67" applyNumberFormat="1" applyFont="1" applyBorder="1">
      <alignment/>
      <protection/>
    </xf>
    <xf numFmtId="0" fontId="0" fillId="0" borderId="11" xfId="67" applyFont="1" applyBorder="1">
      <alignment/>
      <protection/>
    </xf>
    <xf numFmtId="3" fontId="0" fillId="0" borderId="15" xfId="67" applyNumberFormat="1" applyFont="1" applyBorder="1">
      <alignment/>
      <protection/>
    </xf>
    <xf numFmtId="0" fontId="0" fillId="0" borderId="12" xfId="67" applyFont="1" applyBorder="1">
      <alignment/>
      <protection/>
    </xf>
    <xf numFmtId="0" fontId="0" fillId="0" borderId="13" xfId="67" applyFont="1" applyBorder="1">
      <alignment/>
      <protection/>
    </xf>
    <xf numFmtId="164" fontId="0" fillId="0" borderId="12" xfId="67" applyNumberFormat="1" applyFont="1" applyBorder="1">
      <alignment/>
      <protection/>
    </xf>
    <xf numFmtId="3" fontId="2" fillId="0" borderId="0" xfId="67" applyNumberFormat="1" applyFont="1" applyAlignment="1">
      <alignment horizontal="right"/>
      <protection/>
    </xf>
    <xf numFmtId="164" fontId="2" fillId="0" borderId="13" xfId="67" applyNumberFormat="1" applyFont="1" applyBorder="1">
      <alignment/>
      <protection/>
    </xf>
    <xf numFmtId="0" fontId="2" fillId="0" borderId="0" xfId="67" applyFont="1">
      <alignment/>
      <protection/>
    </xf>
    <xf numFmtId="3" fontId="0" fillId="0" borderId="0" xfId="67" applyNumberFormat="1" applyFont="1" applyBorder="1">
      <alignment/>
      <protection/>
    </xf>
    <xf numFmtId="164" fontId="2" fillId="0" borderId="12" xfId="67" applyNumberFormat="1" applyFont="1" applyBorder="1">
      <alignment/>
      <protection/>
    </xf>
    <xf numFmtId="3" fontId="2" fillId="0" borderId="0" xfId="67" applyNumberFormat="1" applyFont="1" applyBorder="1">
      <alignment/>
      <protection/>
    </xf>
    <xf numFmtId="3" fontId="2" fillId="0" borderId="0" xfId="68" applyNumberFormat="1" applyFont="1">
      <alignment/>
      <protection/>
    </xf>
    <xf numFmtId="0" fontId="0" fillId="0" borderId="0" xfId="68" applyFont="1">
      <alignment/>
      <protection/>
    </xf>
    <xf numFmtId="3" fontId="0" fillId="0" borderId="0" xfId="68" applyNumberFormat="1" applyFont="1">
      <alignment/>
      <protection/>
    </xf>
    <xf numFmtId="3" fontId="2" fillId="0" borderId="0" xfId="68" applyNumberFormat="1" applyFont="1" applyAlignment="1">
      <alignment/>
      <protection/>
    </xf>
    <xf numFmtId="0" fontId="0" fillId="0" borderId="0" xfId="68" applyFont="1" applyAlignment="1">
      <alignment/>
      <protection/>
    </xf>
    <xf numFmtId="3" fontId="0" fillId="0" borderId="10" xfId="68" applyNumberFormat="1" applyFont="1" applyBorder="1">
      <alignment/>
      <protection/>
    </xf>
    <xf numFmtId="0" fontId="0" fillId="0" borderId="11" xfId="68" applyFont="1" applyBorder="1">
      <alignment/>
      <protection/>
    </xf>
    <xf numFmtId="3" fontId="0" fillId="0" borderId="15" xfId="68" applyNumberFormat="1" applyFont="1" applyBorder="1">
      <alignment/>
      <protection/>
    </xf>
    <xf numFmtId="0" fontId="0" fillId="0" borderId="12" xfId="68" applyFont="1" applyBorder="1">
      <alignment/>
      <protection/>
    </xf>
    <xf numFmtId="0" fontId="0" fillId="0" borderId="13" xfId="68" applyFont="1" applyBorder="1">
      <alignment/>
      <protection/>
    </xf>
    <xf numFmtId="164" fontId="0" fillId="0" borderId="12" xfId="68" applyNumberFormat="1" applyFont="1" applyBorder="1">
      <alignment/>
      <protection/>
    </xf>
    <xf numFmtId="3" fontId="2" fillId="0" borderId="0" xfId="68" applyNumberFormat="1" applyFont="1" applyAlignment="1">
      <alignment horizontal="right"/>
      <protection/>
    </xf>
    <xf numFmtId="164" fontId="2" fillId="0" borderId="13" xfId="68" applyNumberFormat="1" applyFont="1" applyBorder="1">
      <alignment/>
      <protection/>
    </xf>
    <xf numFmtId="0" fontId="2" fillId="0" borderId="0" xfId="68" applyFont="1">
      <alignment/>
      <protection/>
    </xf>
    <xf numFmtId="3" fontId="0" fillId="0" borderId="0" xfId="68" applyNumberFormat="1" applyFont="1" applyBorder="1">
      <alignment/>
      <protection/>
    </xf>
    <xf numFmtId="0" fontId="4" fillId="0" borderId="0" xfId="68" applyFont="1">
      <alignment/>
      <protection/>
    </xf>
    <xf numFmtId="164" fontId="0" fillId="0" borderId="0" xfId="0" applyNumberFormat="1" applyFont="1" applyAlignment="1">
      <alignment horizontal="centerContinuous"/>
    </xf>
    <xf numFmtId="164" fontId="2" fillId="0" borderId="0" xfId="0" applyNumberFormat="1" applyFont="1" applyAlignment="1">
      <alignment horizontal="centerContinuous"/>
    </xf>
    <xf numFmtId="3" fontId="0" fillId="0" borderId="10" xfId="0" applyNumberFormat="1" applyFont="1" applyBorder="1" applyAlignment="1">
      <alignment horizontal="center"/>
    </xf>
    <xf numFmtId="164" fontId="0" fillId="0" borderId="11" xfId="0" applyNumberFormat="1" applyFont="1" applyBorder="1" applyAlignment="1">
      <alignment horizontal="centerContinuous"/>
    </xf>
    <xf numFmtId="164" fontId="0" fillId="0" borderId="10" xfId="0" applyNumberFormat="1" applyFont="1" applyBorder="1" applyAlignment="1">
      <alignment horizontal="centerContinuous"/>
    </xf>
    <xf numFmtId="3" fontId="0" fillId="0" borderId="15" xfId="0" applyNumberFormat="1" applyFont="1" applyBorder="1" applyAlignment="1">
      <alignment horizontal="center"/>
    </xf>
    <xf numFmtId="164" fontId="0" fillId="0" borderId="16" xfId="0" applyNumberFormat="1" applyFont="1" applyBorder="1" applyAlignment="1">
      <alignment horizontal="centerContinuous"/>
    </xf>
    <xf numFmtId="164" fontId="0" fillId="0" borderId="17" xfId="0" applyNumberFormat="1" applyFont="1" applyBorder="1" applyAlignment="1">
      <alignment horizontal="centerContinuous"/>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4" fontId="0" fillId="0" borderId="15" xfId="0" applyNumberFormat="1" applyFont="1" applyBorder="1" applyAlignment="1">
      <alignment/>
    </xf>
    <xf numFmtId="164" fontId="2" fillId="0" borderId="13" xfId="0" applyNumberFormat="1" applyFont="1" applyBorder="1" applyAlignment="1">
      <alignment/>
    </xf>
    <xf numFmtId="164" fontId="2" fillId="0" borderId="14" xfId="0" applyNumberFormat="1" applyFont="1" applyBorder="1" applyAlignment="1">
      <alignment/>
    </xf>
    <xf numFmtId="3" fontId="2" fillId="0" borderId="0" xfId="70" applyNumberFormat="1" applyFont="1">
      <alignment/>
      <protection/>
    </xf>
    <xf numFmtId="3" fontId="0" fillId="0" borderId="0" xfId="70" applyNumberFormat="1" applyFont="1">
      <alignment/>
      <protection/>
    </xf>
    <xf numFmtId="3" fontId="0" fillId="0" borderId="0" xfId="70" applyNumberFormat="1" applyFont="1" applyBorder="1">
      <alignment/>
      <protection/>
    </xf>
    <xf numFmtId="0" fontId="0" fillId="0" borderId="0" xfId="70" applyFont="1">
      <alignment/>
      <protection/>
    </xf>
    <xf numFmtId="3" fontId="2" fillId="0" borderId="0" xfId="70" applyNumberFormat="1" applyFont="1" applyAlignment="1">
      <alignment horizontal="centerContinuous"/>
      <protection/>
    </xf>
    <xf numFmtId="3" fontId="0" fillId="0" borderId="0" xfId="70" applyNumberFormat="1" applyFont="1" applyAlignment="1">
      <alignment horizontal="centerContinuous"/>
      <protection/>
    </xf>
    <xf numFmtId="3" fontId="0" fillId="0" borderId="0" xfId="70" applyNumberFormat="1" applyFont="1" applyBorder="1" applyAlignment="1">
      <alignment horizontal="centerContinuous"/>
      <protection/>
    </xf>
    <xf numFmtId="0" fontId="0" fillId="0" borderId="0" xfId="70" applyFont="1" applyAlignment="1">
      <alignment horizontal="centerContinuous"/>
      <protection/>
    </xf>
    <xf numFmtId="3" fontId="0" fillId="0" borderId="10" xfId="70" applyNumberFormat="1" applyFont="1" applyBorder="1">
      <alignment/>
      <protection/>
    </xf>
    <xf numFmtId="3" fontId="0" fillId="0" borderId="15" xfId="70" applyNumberFormat="1" applyFont="1" applyBorder="1">
      <alignment/>
      <protection/>
    </xf>
    <xf numFmtId="3" fontId="2" fillId="0" borderId="12" xfId="70" applyNumberFormat="1" applyFont="1" applyBorder="1">
      <alignment/>
      <protection/>
    </xf>
    <xf numFmtId="3" fontId="0" fillId="0" borderId="12" xfId="70" applyNumberFormat="1" applyFont="1" applyBorder="1">
      <alignment/>
      <protection/>
    </xf>
    <xf numFmtId="164" fontId="0" fillId="0" borderId="12" xfId="70" applyNumberFormat="1" applyFont="1" applyBorder="1">
      <alignment/>
      <protection/>
    </xf>
    <xf numFmtId="164" fontId="0" fillId="0" borderId="0" xfId="70" applyNumberFormat="1" applyFont="1">
      <alignment/>
      <protection/>
    </xf>
    <xf numFmtId="164" fontId="0" fillId="0" borderId="12" xfId="70" applyNumberFormat="1" applyFont="1" applyBorder="1" applyAlignment="1">
      <alignment horizontal="right"/>
      <protection/>
    </xf>
    <xf numFmtId="3" fontId="2" fillId="0" borderId="0" xfId="70" applyNumberFormat="1" applyFont="1" applyAlignment="1">
      <alignment horizontal="right"/>
      <protection/>
    </xf>
    <xf numFmtId="164" fontId="2" fillId="0" borderId="13" xfId="70" applyNumberFormat="1" applyFont="1" applyBorder="1">
      <alignment/>
      <protection/>
    </xf>
    <xf numFmtId="164" fontId="2" fillId="0" borderId="14" xfId="70" applyNumberFormat="1" applyFont="1" applyBorder="1">
      <alignment/>
      <protection/>
    </xf>
    <xf numFmtId="164" fontId="0" fillId="0" borderId="0" xfId="70" applyNumberFormat="1" applyFont="1" applyAlignment="1">
      <alignment horizontal="right"/>
      <protection/>
    </xf>
    <xf numFmtId="164" fontId="2" fillId="0" borderId="12" xfId="70" applyNumberFormat="1" applyFont="1" applyBorder="1">
      <alignment/>
      <protection/>
    </xf>
    <xf numFmtId="164" fontId="2" fillId="0" borderId="0" xfId="70" applyNumberFormat="1" applyFont="1" applyBorder="1">
      <alignment/>
      <protection/>
    </xf>
    <xf numFmtId="0" fontId="0" fillId="0" borderId="0" xfId="70" applyFont="1" applyBorder="1">
      <alignment/>
      <protection/>
    </xf>
    <xf numFmtId="3" fontId="2" fillId="0" borderId="0" xfId="71" applyNumberFormat="1" applyFont="1">
      <alignment/>
      <protection/>
    </xf>
    <xf numFmtId="3" fontId="0" fillId="0" borderId="0" xfId="71" applyNumberFormat="1" applyFont="1">
      <alignment/>
      <protection/>
    </xf>
    <xf numFmtId="3" fontId="0" fillId="0" borderId="0" xfId="71" applyNumberFormat="1" applyFont="1" applyBorder="1">
      <alignment/>
      <protection/>
    </xf>
    <xf numFmtId="0" fontId="0" fillId="0" borderId="0" xfId="71" applyFont="1">
      <alignment/>
      <protection/>
    </xf>
    <xf numFmtId="3" fontId="2" fillId="0" borderId="0" xfId="71" applyNumberFormat="1" applyFont="1" applyAlignment="1">
      <alignment horizontal="centerContinuous"/>
      <protection/>
    </xf>
    <xf numFmtId="3" fontId="0" fillId="0" borderId="0" xfId="71" applyNumberFormat="1" applyFont="1" applyAlignment="1">
      <alignment horizontal="centerContinuous"/>
      <protection/>
    </xf>
    <xf numFmtId="3" fontId="0" fillId="0" borderId="0" xfId="71" applyNumberFormat="1" applyFont="1" applyBorder="1" applyAlignment="1">
      <alignment horizontal="centerContinuous"/>
      <protection/>
    </xf>
    <xf numFmtId="0" fontId="0" fillId="0" borderId="0" xfId="71" applyFont="1" applyAlignment="1">
      <alignment horizontal="centerContinuous"/>
      <protection/>
    </xf>
    <xf numFmtId="3" fontId="0" fillId="0" borderId="10" xfId="71" applyNumberFormat="1" applyFont="1" applyBorder="1">
      <alignment/>
      <protection/>
    </xf>
    <xf numFmtId="3" fontId="0" fillId="0" borderId="11" xfId="71" applyNumberFormat="1" applyFont="1" applyBorder="1" applyAlignment="1">
      <alignment horizontal="centerContinuous"/>
      <protection/>
    </xf>
    <xf numFmtId="3" fontId="0" fillId="0" borderId="10" xfId="71" applyNumberFormat="1" applyFont="1" applyBorder="1" applyAlignment="1">
      <alignment horizontal="centerContinuous"/>
      <protection/>
    </xf>
    <xf numFmtId="3" fontId="0" fillId="0" borderId="13" xfId="71" applyNumberFormat="1" applyFont="1" applyBorder="1" applyAlignment="1">
      <alignment horizontal="centerContinuous"/>
      <protection/>
    </xf>
    <xf numFmtId="3" fontId="0" fillId="0" borderId="14" xfId="71" applyNumberFormat="1" applyFont="1" applyBorder="1" applyAlignment="1">
      <alignment horizontal="centerContinuous"/>
      <protection/>
    </xf>
    <xf numFmtId="3" fontId="2" fillId="0" borderId="12" xfId="71" applyNumberFormat="1" applyFont="1" applyBorder="1">
      <alignment/>
      <protection/>
    </xf>
    <xf numFmtId="3" fontId="0" fillId="0" borderId="12" xfId="71" applyNumberFormat="1" applyFont="1" applyBorder="1">
      <alignment/>
      <protection/>
    </xf>
    <xf numFmtId="164" fontId="0" fillId="0" borderId="12" xfId="71" applyNumberFormat="1" applyFont="1" applyBorder="1">
      <alignment/>
      <protection/>
    </xf>
    <xf numFmtId="164" fontId="0" fillId="0" borderId="0" xfId="71" applyNumberFormat="1" applyFont="1">
      <alignment/>
      <protection/>
    </xf>
    <xf numFmtId="164" fontId="0" fillId="0" borderId="12" xfId="71" applyNumberFormat="1" applyFont="1" applyBorder="1" applyAlignment="1">
      <alignment horizontal="right"/>
      <protection/>
    </xf>
    <xf numFmtId="3" fontId="2" fillId="0" borderId="0" xfId="69" applyNumberFormat="1" applyFont="1">
      <alignment/>
      <protection/>
    </xf>
    <xf numFmtId="0" fontId="0" fillId="0" borderId="0" xfId="69" applyFont="1">
      <alignment/>
      <protection/>
    </xf>
    <xf numFmtId="3" fontId="0" fillId="0" borderId="0" xfId="69" applyNumberFormat="1" applyFont="1">
      <alignment/>
      <protection/>
    </xf>
    <xf numFmtId="3" fontId="2" fillId="0" borderId="0" xfId="69" applyNumberFormat="1" applyFont="1" applyAlignment="1">
      <alignment/>
      <protection/>
    </xf>
    <xf numFmtId="0" fontId="0" fillId="0" borderId="0" xfId="69" applyFont="1" applyAlignment="1">
      <alignment/>
      <protection/>
    </xf>
    <xf numFmtId="3" fontId="0" fillId="0" borderId="10" xfId="69" applyNumberFormat="1" applyFont="1" applyBorder="1">
      <alignment/>
      <protection/>
    </xf>
    <xf numFmtId="0" fontId="0" fillId="0" borderId="11" xfId="69" applyFont="1" applyBorder="1">
      <alignment/>
      <protection/>
    </xf>
    <xf numFmtId="3" fontId="0" fillId="0" borderId="15" xfId="69" applyNumberFormat="1" applyFont="1" applyBorder="1">
      <alignment/>
      <protection/>
    </xf>
    <xf numFmtId="0" fontId="0" fillId="0" borderId="12" xfId="69" applyFont="1" applyBorder="1">
      <alignment/>
      <protection/>
    </xf>
    <xf numFmtId="0" fontId="0" fillId="0" borderId="13" xfId="69" applyFont="1" applyBorder="1">
      <alignment/>
      <protection/>
    </xf>
    <xf numFmtId="164" fontId="0" fillId="0" borderId="12" xfId="69" applyNumberFormat="1" applyFont="1" applyBorder="1">
      <alignment/>
      <protection/>
    </xf>
    <xf numFmtId="3" fontId="2" fillId="0" borderId="0" xfId="69" applyNumberFormat="1" applyFont="1" applyAlignment="1">
      <alignment horizontal="right"/>
      <protection/>
    </xf>
    <xf numFmtId="164" fontId="2" fillId="0" borderId="13" xfId="69" applyNumberFormat="1" applyFont="1" applyBorder="1">
      <alignment/>
      <protection/>
    </xf>
    <xf numFmtId="0" fontId="2" fillId="0" borderId="0" xfId="69" applyFont="1">
      <alignment/>
      <protection/>
    </xf>
    <xf numFmtId="3" fontId="0" fillId="0" borderId="0" xfId="69" applyNumberFormat="1" applyFont="1" applyBorder="1">
      <alignment/>
      <protection/>
    </xf>
    <xf numFmtId="164" fontId="2" fillId="0" borderId="12" xfId="69" applyNumberFormat="1" applyFont="1" applyBorder="1">
      <alignment/>
      <protection/>
    </xf>
    <xf numFmtId="3" fontId="0" fillId="0" borderId="0" xfId="0" applyNumberFormat="1" applyFont="1" applyBorder="1" applyAlignment="1">
      <alignment horizontal="centerContinuous"/>
    </xf>
    <xf numFmtId="3" fontId="2" fillId="0" borderId="0" xfId="72" applyNumberFormat="1" applyFont="1">
      <alignment/>
      <protection/>
    </xf>
    <xf numFmtId="0" fontId="0" fillId="0" borderId="0" xfId="72" applyFont="1">
      <alignment/>
      <protection/>
    </xf>
    <xf numFmtId="3" fontId="0" fillId="0" borderId="0" xfId="72" applyNumberFormat="1" applyFont="1">
      <alignment/>
      <protection/>
    </xf>
    <xf numFmtId="3" fontId="2" fillId="0" borderId="0" xfId="72" applyNumberFormat="1" applyFont="1" applyAlignment="1">
      <alignment/>
      <protection/>
    </xf>
    <xf numFmtId="0" fontId="0" fillId="0" borderId="0" xfId="72" applyFont="1" applyAlignment="1">
      <alignment/>
      <protection/>
    </xf>
    <xf numFmtId="3" fontId="0" fillId="0" borderId="10" xfId="72" applyNumberFormat="1" applyFont="1" applyBorder="1">
      <alignment/>
      <protection/>
    </xf>
    <xf numFmtId="0" fontId="0" fillId="0" borderId="11" xfId="72" applyFont="1" applyBorder="1">
      <alignment/>
      <protection/>
    </xf>
    <xf numFmtId="3" fontId="0" fillId="0" borderId="0" xfId="72" applyNumberFormat="1" applyFont="1" applyBorder="1" applyAlignment="1">
      <alignment horizontal="center"/>
      <protection/>
    </xf>
    <xf numFmtId="0" fontId="0" fillId="0" borderId="12" xfId="72" applyFont="1" applyBorder="1" applyAlignment="1">
      <alignment horizontal="center"/>
      <protection/>
    </xf>
    <xf numFmtId="0" fontId="0" fillId="0" borderId="0" xfId="72" applyFont="1" applyAlignment="1">
      <alignment horizontal="center"/>
      <protection/>
    </xf>
    <xf numFmtId="3" fontId="0" fillId="0" borderId="15" xfId="72" applyNumberFormat="1" applyFont="1" applyBorder="1">
      <alignment/>
      <protection/>
    </xf>
    <xf numFmtId="0" fontId="0" fillId="0" borderId="12" xfId="72" applyFont="1" applyBorder="1">
      <alignment/>
      <protection/>
    </xf>
    <xf numFmtId="0" fontId="0" fillId="0" borderId="13" xfId="72" applyFont="1" applyBorder="1">
      <alignment/>
      <protection/>
    </xf>
    <xf numFmtId="164" fontId="0" fillId="0" borderId="12" xfId="72" applyNumberFormat="1" applyFont="1" applyBorder="1">
      <alignment/>
      <protection/>
    </xf>
    <xf numFmtId="3" fontId="2" fillId="0" borderId="0" xfId="72" applyNumberFormat="1" applyFont="1" applyAlignment="1">
      <alignment horizontal="right"/>
      <protection/>
    </xf>
    <xf numFmtId="164" fontId="2" fillId="0" borderId="13" xfId="72" applyNumberFormat="1" applyFont="1" applyBorder="1">
      <alignment/>
      <protection/>
    </xf>
    <xf numFmtId="0" fontId="2" fillId="0" borderId="0" xfId="72" applyFont="1">
      <alignment/>
      <protection/>
    </xf>
    <xf numFmtId="3" fontId="0" fillId="0" borderId="0" xfId="72" applyNumberFormat="1" applyFont="1" applyBorder="1">
      <alignment/>
      <protection/>
    </xf>
    <xf numFmtId="164" fontId="2" fillId="0" borderId="12" xfId="72" applyNumberFormat="1" applyFont="1" applyBorder="1">
      <alignment/>
      <protection/>
    </xf>
    <xf numFmtId="3" fontId="0" fillId="0" borderId="11" xfId="70" applyNumberFormat="1" applyFont="1" applyBorder="1" applyAlignment="1">
      <alignment horizontal="centerContinuous" vertical="center"/>
      <protection/>
    </xf>
    <xf numFmtId="3" fontId="0" fillId="0" borderId="10" xfId="70" applyNumberFormat="1" applyFont="1" applyBorder="1" applyAlignment="1">
      <alignment horizontal="centerContinuous" vertical="center"/>
      <protection/>
    </xf>
    <xf numFmtId="3" fontId="0" fillId="0" borderId="13" xfId="70" applyNumberFormat="1" applyFont="1" applyBorder="1" applyAlignment="1">
      <alignment horizontal="centerContinuous" vertical="center"/>
      <protection/>
    </xf>
    <xf numFmtId="3" fontId="0" fillId="0" borderId="14" xfId="70" applyNumberFormat="1" applyFont="1" applyBorder="1" applyAlignment="1">
      <alignment horizontal="centerContinuous" vertical="center"/>
      <protection/>
    </xf>
    <xf numFmtId="3" fontId="0" fillId="0" borderId="11" xfId="0" applyNumberFormat="1" applyFont="1" applyBorder="1" applyAlignment="1">
      <alignment horizontal="centerContinuous" vertical="center"/>
    </xf>
    <xf numFmtId="3" fontId="0" fillId="0" borderId="10" xfId="0" applyNumberFormat="1" applyFont="1" applyBorder="1" applyAlignment="1">
      <alignment horizontal="centerContinuous" vertical="center"/>
    </xf>
    <xf numFmtId="3" fontId="0" fillId="0" borderId="13" xfId="0" applyNumberFormat="1" applyFont="1" applyBorder="1" applyAlignment="1">
      <alignment horizontal="centerContinuous" vertical="center"/>
    </xf>
    <xf numFmtId="3" fontId="0" fillId="0" borderId="14" xfId="0" applyNumberFormat="1" applyFont="1" applyBorder="1" applyAlignment="1">
      <alignment horizontal="centerContinuous" vertical="center"/>
    </xf>
    <xf numFmtId="0" fontId="0" fillId="0" borderId="0" xfId="0" applyFont="1" applyAlignment="1">
      <alignment horizontal="center"/>
    </xf>
    <xf numFmtId="164" fontId="0" fillId="0" borderId="16" xfId="0" applyNumberFormat="1" applyFont="1" applyBorder="1" applyAlignment="1">
      <alignment horizontal="center"/>
    </xf>
    <xf numFmtId="164" fontId="0" fillId="0" borderId="17" xfId="0" applyNumberFormat="1" applyFont="1" applyBorder="1" applyAlignment="1">
      <alignment horizontal="center"/>
    </xf>
    <xf numFmtId="3" fontId="0" fillId="0" borderId="15" xfId="71" applyNumberFormat="1" applyFont="1" applyBorder="1" applyAlignment="1">
      <alignment horizontal="center"/>
      <protection/>
    </xf>
    <xf numFmtId="0" fontId="0" fillId="0" borderId="0" xfId="71" applyFont="1" applyAlignment="1">
      <alignment horizontal="center"/>
      <protection/>
    </xf>
    <xf numFmtId="164" fontId="2" fillId="0" borderId="18" xfId="70" applyNumberFormat="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0" applyNumberFormat="1" applyFont="1">
      <alignment/>
      <protection/>
    </xf>
    <xf numFmtId="164" fontId="2" fillId="0" borderId="12" xfId="0" applyNumberFormat="1" applyFont="1" applyBorder="1" applyAlignment="1">
      <alignment/>
    </xf>
    <xf numFmtId="164" fontId="2" fillId="0" borderId="0" xfId="0" applyNumberFormat="1" applyFont="1" applyAlignment="1">
      <alignment/>
    </xf>
    <xf numFmtId="164" fontId="2" fillId="0" borderId="0" xfId="0" applyNumberFormat="1" applyFont="1" applyBorder="1" applyAlignment="1">
      <alignment horizontal="right"/>
    </xf>
    <xf numFmtId="164" fontId="2" fillId="0" borderId="12" xfId="0" applyNumberFormat="1" applyFont="1" applyBorder="1" applyAlignment="1">
      <alignment horizontal="right"/>
    </xf>
    <xf numFmtId="0" fontId="3" fillId="0" borderId="14" xfId="67" applyBorder="1">
      <alignment/>
      <protection/>
    </xf>
    <xf numFmtId="164" fontId="0" fillId="0" borderId="13" xfId="67" applyNumberFormat="1" applyFont="1" applyBorder="1">
      <alignment/>
      <protection/>
    </xf>
    <xf numFmtId="0" fontId="3" fillId="0" borderId="0" xfId="68" applyBorder="1">
      <alignment/>
      <protection/>
    </xf>
    <xf numFmtId="3" fontId="2" fillId="0" borderId="15" xfId="68" applyNumberFormat="1" applyFont="1" applyBorder="1" applyAlignment="1">
      <alignment horizontal="right"/>
      <protection/>
    </xf>
    <xf numFmtId="164" fontId="2" fillId="0" borderId="16" xfId="68" applyNumberFormat="1" applyFont="1" applyBorder="1">
      <alignment/>
      <protection/>
    </xf>
    <xf numFmtId="0" fontId="4" fillId="0" borderId="0" xfId="0" applyFont="1" applyAlignment="1">
      <alignment/>
    </xf>
    <xf numFmtId="3" fontId="0" fillId="0" borderId="16" xfId="0" applyNumberFormat="1" applyFont="1" applyBorder="1" applyAlignment="1">
      <alignment horizontal="center"/>
    </xf>
    <xf numFmtId="3" fontId="0" fillId="0" borderId="17" xfId="0" applyNumberFormat="1" applyFont="1" applyBorder="1" applyAlignment="1">
      <alignment horizontal="center"/>
    </xf>
    <xf numFmtId="3" fontId="0" fillId="0" borderId="16" xfId="70" applyNumberFormat="1" applyFont="1" applyBorder="1" applyAlignment="1">
      <alignment horizontal="right" vertical="center"/>
      <protection/>
    </xf>
    <xf numFmtId="3" fontId="0" fillId="0" borderId="17" xfId="70" applyNumberFormat="1" applyFont="1" applyBorder="1" applyAlignment="1">
      <alignment horizontal="right" vertical="center"/>
      <protection/>
    </xf>
    <xf numFmtId="3" fontId="0" fillId="0" borderId="16" xfId="71" applyNumberFormat="1" applyFont="1" applyBorder="1" applyAlignment="1">
      <alignment horizontal="center"/>
      <protection/>
    </xf>
    <xf numFmtId="3" fontId="0" fillId="0" borderId="17" xfId="71" applyNumberFormat="1" applyFont="1" applyBorder="1" applyAlignment="1">
      <alignment horizontal="center"/>
      <protection/>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0" fontId="3" fillId="0" borderId="14" xfId="69" applyBorder="1">
      <alignment/>
      <protection/>
    </xf>
    <xf numFmtId="164" fontId="0" fillId="0" borderId="13" xfId="69" applyNumberFormat="1" applyFont="1" applyBorder="1">
      <alignment/>
      <protection/>
    </xf>
    <xf numFmtId="0" fontId="3" fillId="0" borderId="14" xfId="72" applyBorder="1">
      <alignment/>
      <protection/>
    </xf>
    <xf numFmtId="164" fontId="0" fillId="0" borderId="13" xfId="72" applyNumberFormat="1" applyFont="1" applyBorder="1">
      <alignment/>
      <protection/>
    </xf>
    <xf numFmtId="164" fontId="0" fillId="0" borderId="18" xfId="0" applyNumberFormat="1" applyFont="1" applyBorder="1" applyAlignment="1">
      <alignment/>
    </xf>
    <xf numFmtId="164" fontId="0" fillId="0" borderId="19" xfId="0" applyNumberFormat="1" applyFont="1" applyBorder="1" applyAlignment="1">
      <alignment/>
    </xf>
    <xf numFmtId="164" fontId="0" fillId="0" borderId="18" xfId="0" applyNumberFormat="1" applyFont="1" applyBorder="1" applyAlignment="1">
      <alignment horizontal="right"/>
    </xf>
    <xf numFmtId="164" fontId="0" fillId="0" borderId="12"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20" xfId="0" applyNumberFormat="1" applyBorder="1" applyAlignment="1">
      <alignment/>
    </xf>
    <xf numFmtId="164" fontId="0" fillId="0" borderId="15" xfId="0" applyNumberFormat="1" applyBorder="1" applyAlignment="1">
      <alignment/>
    </xf>
    <xf numFmtId="3" fontId="0" fillId="0" borderId="15" xfId="0" applyNumberFormat="1" applyFont="1" applyBorder="1" applyAlignment="1">
      <alignment horizontal="left"/>
    </xf>
    <xf numFmtId="3" fontId="2" fillId="0" borderId="18" xfId="70" applyNumberFormat="1" applyFont="1" applyBorder="1">
      <alignment/>
      <protection/>
    </xf>
    <xf numFmtId="164" fontId="0" fillId="0" borderId="18" xfId="70" applyNumberFormat="1" applyFont="1" applyBorder="1">
      <alignment/>
      <protection/>
    </xf>
    <xf numFmtId="0" fontId="2" fillId="0" borderId="18" xfId="70" applyFont="1" applyBorder="1" applyAlignment="1">
      <alignment horizontal="right"/>
      <protection/>
    </xf>
    <xf numFmtId="164" fontId="0" fillId="0" borderId="0" xfId="70" applyNumberFormat="1" applyFont="1" applyBorder="1">
      <alignment/>
      <protection/>
    </xf>
    <xf numFmtId="3" fontId="2" fillId="0" borderId="0" xfId="0" applyNumberFormat="1" applyFont="1" applyAlignment="1">
      <alignment horizontal="left"/>
    </xf>
    <xf numFmtId="3" fontId="2" fillId="0" borderId="0" xfId="0" applyNumberFormat="1" applyFont="1" applyAlignment="1">
      <alignment horizontal="right" wrapText="1" shrinkToFit="1"/>
    </xf>
    <xf numFmtId="164" fontId="2" fillId="0" borderId="18" xfId="0" applyNumberFormat="1" applyFont="1" applyBorder="1" applyAlignment="1">
      <alignment/>
    </xf>
    <xf numFmtId="3" fontId="2" fillId="0" borderId="0" xfId="67" applyNumberFormat="1" applyFont="1" applyAlignment="1">
      <alignment horizontal="left"/>
      <protection/>
    </xf>
    <xf numFmtId="164" fontId="2" fillId="0" borderId="12" xfId="68" applyNumberFormat="1" applyFont="1" applyBorder="1">
      <alignment/>
      <protection/>
    </xf>
    <xf numFmtId="3" fontId="2" fillId="0" borderId="18" xfId="70" applyNumberFormat="1" applyFont="1" applyBorder="1" applyAlignment="1">
      <alignment horizontal="right" wrapText="1" shrinkToFit="1"/>
      <protection/>
    </xf>
    <xf numFmtId="164" fontId="0" fillId="0" borderId="18" xfId="71" applyNumberFormat="1" applyFont="1" applyBorder="1">
      <alignment/>
      <protection/>
    </xf>
    <xf numFmtId="164" fontId="2" fillId="0" borderId="21" xfId="0" applyNumberFormat="1" applyFont="1" applyBorder="1" applyAlignment="1">
      <alignment/>
    </xf>
    <xf numFmtId="164" fontId="2" fillId="0" borderId="21" xfId="0" applyNumberFormat="1" applyFont="1" applyBorder="1" applyAlignment="1">
      <alignment horizontal="right"/>
    </xf>
    <xf numFmtId="0" fontId="3" fillId="0" borderId="0" xfId="67" applyBorder="1">
      <alignment/>
      <protection/>
    </xf>
    <xf numFmtId="0" fontId="2" fillId="0" borderId="0" xfId="0" applyFont="1" applyAlignment="1">
      <alignment/>
    </xf>
    <xf numFmtId="0" fontId="0" fillId="0" borderId="0" xfId="0" applyFont="1" applyAlignment="1">
      <alignment/>
    </xf>
    <xf numFmtId="0" fontId="4" fillId="0" borderId="0" xfId="67" applyFont="1">
      <alignment/>
      <protection/>
    </xf>
    <xf numFmtId="0" fontId="4" fillId="0" borderId="0" xfId="68" applyFont="1">
      <alignment/>
      <protection/>
    </xf>
    <xf numFmtId="0" fontId="4" fillId="0" borderId="0" xfId="70" applyFont="1">
      <alignment/>
      <protection/>
    </xf>
    <xf numFmtId="0" fontId="4" fillId="0" borderId="0" xfId="71" applyFont="1">
      <alignment/>
      <protection/>
    </xf>
    <xf numFmtId="0" fontId="4" fillId="0" borderId="0" xfId="69" applyFont="1">
      <alignment/>
      <protection/>
    </xf>
    <xf numFmtId="0" fontId="9" fillId="0" borderId="0" xfId="0" applyFont="1" applyAlignment="1">
      <alignment/>
    </xf>
    <xf numFmtId="0" fontId="0" fillId="0" borderId="12" xfId="72" applyFont="1" applyBorder="1" applyAlignment="1">
      <alignment horizontal="center"/>
      <protection/>
    </xf>
    <xf numFmtId="3" fontId="0" fillId="0" borderId="0" xfId="71" applyNumberFormat="1" applyFont="1">
      <alignment/>
      <protection/>
    </xf>
    <xf numFmtId="164" fontId="0" fillId="0" borderId="0" xfId="70" applyNumberFormat="1" applyFont="1">
      <alignment/>
      <protection/>
    </xf>
    <xf numFmtId="164" fontId="48" fillId="0" borderId="0" xfId="0" applyNumberFormat="1" applyFont="1" applyAlignment="1">
      <alignment/>
    </xf>
    <xf numFmtId="0" fontId="48" fillId="0" borderId="0" xfId="0" applyFont="1" applyAlignment="1">
      <alignment/>
    </xf>
    <xf numFmtId="0" fontId="48" fillId="0" borderId="0" xfId="48" applyFont="1" applyAlignment="1" applyProtection="1">
      <alignment/>
      <protection/>
    </xf>
    <xf numFmtId="0" fontId="0" fillId="0" borderId="0" xfId="67" applyFont="1">
      <alignment/>
      <protection/>
    </xf>
    <xf numFmtId="3" fontId="0" fillId="0" borderId="11" xfId="70" applyNumberFormat="1" applyFont="1" applyBorder="1" applyAlignment="1">
      <alignment horizontal="centerContinuous" vertical="center"/>
      <protection/>
    </xf>
    <xf numFmtId="0" fontId="0" fillId="0" borderId="0" xfId="70" applyFont="1">
      <alignment/>
      <protection/>
    </xf>
    <xf numFmtId="3" fontId="0" fillId="0" borderId="0" xfId="71" applyNumberFormat="1" applyFont="1">
      <alignment/>
      <protection/>
    </xf>
    <xf numFmtId="3" fontId="0" fillId="0" borderId="11" xfId="0" applyNumberFormat="1" applyFont="1" applyBorder="1" applyAlignment="1">
      <alignment horizontal="centerContinuous" vertical="center"/>
    </xf>
    <xf numFmtId="3" fontId="2" fillId="0" borderId="18" xfId="70" applyNumberFormat="1" applyFont="1" applyBorder="1" applyAlignment="1">
      <alignment horizontal="right" wrapText="1" shrinkToFit="1"/>
      <protection/>
    </xf>
    <xf numFmtId="0" fontId="0" fillId="0" borderId="0" xfId="0" applyNumberFormat="1" applyFont="1" applyAlignment="1">
      <alignment/>
    </xf>
    <xf numFmtId="0" fontId="0" fillId="0" borderId="0" xfId="0" applyNumberFormat="1" applyAlignment="1">
      <alignment/>
    </xf>
    <xf numFmtId="3" fontId="0" fillId="0" borderId="18" xfId="71" applyNumberFormat="1" applyFont="1" applyBorder="1">
      <alignment/>
      <protection/>
    </xf>
    <xf numFmtId="164" fontId="0" fillId="0" borderId="0" xfId="0" applyNumberFormat="1" applyAlignment="1">
      <alignment horizontal="right"/>
    </xf>
    <xf numFmtId="0" fontId="44" fillId="0" borderId="22" xfId="0" applyNumberFormat="1" applyFont="1" applyFill="1" applyBorder="1" applyAlignment="1">
      <alignment/>
    </xf>
    <xf numFmtId="0" fontId="44" fillId="0" borderId="23" xfId="0" applyNumberFormat="1" applyFont="1" applyFill="1" applyBorder="1" applyAlignment="1">
      <alignment/>
    </xf>
    <xf numFmtId="0" fontId="4" fillId="0" borderId="0" xfId="72" applyFont="1">
      <alignment/>
      <protection/>
    </xf>
    <xf numFmtId="0" fontId="7" fillId="0" borderId="0" xfId="48" applyAlignment="1" applyProtection="1">
      <alignment/>
      <protection/>
    </xf>
    <xf numFmtId="3" fontId="2" fillId="0" borderId="0" xfId="0" applyNumberFormat="1" applyFont="1" applyAlignment="1">
      <alignment horizontal="center"/>
    </xf>
    <xf numFmtId="3" fontId="2" fillId="0" borderId="0" xfId="67" applyNumberFormat="1" applyFont="1" applyAlignment="1">
      <alignment horizontal="center"/>
      <protection/>
    </xf>
    <xf numFmtId="3" fontId="2" fillId="0" borderId="0" xfId="67" applyNumberFormat="1" applyFont="1" applyAlignment="1">
      <alignment horizontal="center"/>
      <protection/>
    </xf>
    <xf numFmtId="3" fontId="2" fillId="0" borderId="0" xfId="68" applyNumberFormat="1" applyFont="1" applyAlignment="1">
      <alignment horizontal="center"/>
      <protection/>
    </xf>
    <xf numFmtId="3" fontId="2" fillId="0" borderId="0" xfId="68" applyNumberFormat="1" applyFont="1" applyAlignment="1">
      <alignment horizontal="center"/>
      <protection/>
    </xf>
    <xf numFmtId="3" fontId="2" fillId="0" borderId="0" xfId="69" applyNumberFormat="1" applyFont="1" applyAlignment="1">
      <alignment horizontal="center"/>
      <protection/>
    </xf>
    <xf numFmtId="3" fontId="2" fillId="0" borderId="0" xfId="72" applyNumberFormat="1" applyFont="1" applyAlignment="1">
      <alignment horizontal="center"/>
      <protection/>
    </xf>
  </cellXfs>
  <cellStyles count="66">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yperlink" xfId="48"/>
    <cellStyle name="Invoer" xfId="49"/>
    <cellStyle name="Comma" xfId="50"/>
    <cellStyle name="Comma [0]" xfId="51"/>
    <cellStyle name="komma1nul" xfId="52"/>
    <cellStyle name="komma2nul" xfId="53"/>
    <cellStyle name="Kop 1" xfId="54"/>
    <cellStyle name="Kop 2" xfId="55"/>
    <cellStyle name="Kop 3" xfId="56"/>
    <cellStyle name="Kop 4" xfId="57"/>
    <cellStyle name="Neutraal" xfId="58"/>
    <cellStyle name="nieuw" xfId="59"/>
    <cellStyle name="Notitie" xfId="60"/>
    <cellStyle name="Ongeldig" xfId="61"/>
    <cellStyle name="perc1nul" xfId="62"/>
    <cellStyle name="perc2nul" xfId="63"/>
    <cellStyle name="perc3nul" xfId="64"/>
    <cellStyle name="perc4" xfId="65"/>
    <cellStyle name="Percent" xfId="66"/>
    <cellStyle name="Standaard_96palg02" xfId="67"/>
    <cellStyle name="Standaard_96palg03" xfId="68"/>
    <cellStyle name="Standaard_96palg05 (2)" xfId="69"/>
    <cellStyle name="Standaard_96palg06" xfId="70"/>
    <cellStyle name="Standaard_96palg07" xfId="71"/>
    <cellStyle name="Standaard_96palg09 (2)" xfId="72"/>
    <cellStyle name="Titel" xfId="73"/>
    <cellStyle name="Totaal" xfId="74"/>
    <cellStyle name="Uitvoer" xfId="75"/>
    <cellStyle name="Currency" xfId="76"/>
    <cellStyle name="Currency [0]" xfId="77"/>
    <cellStyle name="Verklarende tekst" xfId="78"/>
    <cellStyle name="Waarschuwingsteks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10</xdr:col>
      <xdr:colOff>438150</xdr:colOff>
      <xdr:row>146</xdr:row>
      <xdr:rowOff>85725</xdr:rowOff>
    </xdr:to>
    <xdr:sp>
      <xdr:nvSpPr>
        <xdr:cNvPr id="1" name="Tekstvak 1"/>
        <xdr:cNvSpPr txBox="1">
          <a:spLocks noChangeArrowheads="1"/>
        </xdr:cNvSpPr>
      </xdr:nvSpPr>
      <xdr:spPr>
        <a:xfrm>
          <a:off x="28575" y="19050"/>
          <a:ext cx="6505575" cy="2370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TOELICHTING ONDERWIJSPERSONEEL
</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 personeelsstatistieken wordt enkel het personeel geregistreerd dat ofwel rechtstreeks door het Beleidsdomein Onderwijs en Vorming wordt betaald, ofwel waarvan de lonen ten laste zijn van de werkingsenveloppe van het hoger onderwijs. Dit impliceert dat het meester-, vak- en dienstpersoneel van het gesubsidieerd onderwijs niet opgenomen is in de statistieken. De gesubsidieerde contractuelen worden ook buiten beschouwing gelaten, omdat deze personeelsleden niet volledig door het Beleidsdomein Onderwijs en Vorming worden betaald.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personeel dat geniet van het stelsel 'terbeschikkingstelling voorafgaand aan het rustpensioen' (TBS+) is opgenomen in deze statistieken. Alle personeelsgegevens hebben betrekking op de maand januari, zoals gekend in juni 2018.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Bestuurs- en onderwijzend personeel en andere personeelscategorieën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Binnen het onderwijspersoneel wordt een onderscheid gemaakt tussen enerzijds het </a:t>
          </a:r>
          <a:r>
            <a:rPr lang="en-US" cap="none" sz="1100" b="0" i="1" u="none" baseline="0">
              <a:solidFill>
                <a:srgbClr val="000000"/>
              </a:solidFill>
              <a:latin typeface="Calibri"/>
              <a:ea typeface="Calibri"/>
              <a:cs typeface="Calibri"/>
            </a:rPr>
            <a:t>bestuurs- en onderwijzend personeel</a:t>
          </a:r>
          <a:r>
            <a:rPr lang="en-US" cap="none" sz="1100" b="0" i="0" u="none" baseline="0">
              <a:solidFill>
                <a:srgbClr val="000000"/>
              </a:solidFill>
              <a:latin typeface="Calibri"/>
              <a:ea typeface="Calibri"/>
              <a:cs typeface="Calibri"/>
            </a:rPr>
            <a:t> en anderzijds </a:t>
          </a:r>
          <a:r>
            <a:rPr lang="en-US" cap="none" sz="1100" b="0" i="1" u="none" baseline="0">
              <a:solidFill>
                <a:srgbClr val="000000"/>
              </a:solidFill>
              <a:latin typeface="Calibri"/>
              <a:ea typeface="Calibri"/>
              <a:cs typeface="Calibri"/>
            </a:rPr>
            <a:t>andere personeelscategorieën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a:t>
          </a:r>
          <a:r>
            <a:rPr lang="en-US" cap="none" sz="1100" b="0" i="1" u="none" baseline="0">
              <a:solidFill>
                <a:srgbClr val="000000"/>
              </a:solidFill>
              <a:latin typeface="Calibri"/>
              <a:ea typeface="Calibri"/>
              <a:cs typeface="Calibri"/>
            </a:rPr>
            <a:t>bestuurspersoneel</a:t>
          </a:r>
          <a:r>
            <a:rPr lang="en-US" cap="none" sz="1100" b="0" i="0" u="none" baseline="0">
              <a:solidFill>
                <a:srgbClr val="000000"/>
              </a:solidFill>
              <a:latin typeface="Calibri"/>
              <a:ea typeface="Calibri"/>
              <a:cs typeface="Calibri"/>
            </a:rPr>
            <a:t> bestaat uit directeurs en adjunct-directeurs en nog enkele andere ambten. Het </a:t>
          </a:r>
          <a:r>
            <a:rPr lang="en-US" cap="none" sz="1100" b="0" i="1" u="none" baseline="0">
              <a:solidFill>
                <a:srgbClr val="000000"/>
              </a:solidFill>
              <a:latin typeface="Calibri"/>
              <a:ea typeface="Calibri"/>
              <a:cs typeface="Calibri"/>
            </a:rPr>
            <a:t>onderwijzend personeel</a:t>
          </a:r>
          <a:r>
            <a:rPr lang="en-US" cap="none" sz="1100" b="0" i="0" u="none" baseline="0">
              <a:solidFill>
                <a:srgbClr val="000000"/>
              </a:solidFill>
              <a:latin typeface="Calibri"/>
              <a:ea typeface="Calibri"/>
              <a:cs typeface="Calibri"/>
            </a:rPr>
            <a:t> vervult effectief een lesopdracht, is ter beschikking gesteld voorafgaand aan het rustpensioen of neemt een bonus.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a:t>
          </a:r>
          <a:r>
            <a:rPr lang="en-US" cap="none" sz="1100" b="0" i="1" u="none" baseline="0">
              <a:solidFill>
                <a:srgbClr val="000000"/>
              </a:solidFill>
              <a:latin typeface="Calibri"/>
              <a:ea typeface="Calibri"/>
              <a:cs typeface="Calibri"/>
            </a:rPr>
            <a:t>andere personeelscategorieën</a:t>
          </a:r>
          <a:r>
            <a:rPr lang="en-US" cap="none" sz="1100" b="0" i="0" u="none" baseline="0">
              <a:solidFill>
                <a:srgbClr val="000000"/>
              </a:solidFill>
              <a:latin typeface="Calibri"/>
              <a:ea typeface="Calibri"/>
              <a:cs typeface="Calibri"/>
            </a:rPr>
            <a:t> bestaan uit het administratief personeel, het werkliedenpersoneel van het gemeenschapsonderwijs, het opvoedend hulppersoneel, het paramedisch personeel, het CLB- personeel, het inspectiepersoneel, het personeel pedagogische begeleiding, het personeel van de internaten en de kinderverzorgsters van het kleuteronderwijs.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hoger beroepsonderwijs behoort juridisch tot het hoger onderwijs. Hoger beroepsonderwijs kan worden ingericht door centra voor volwassenenonderwijs, hogescholen en scholen voor voltijds secundair onderwijs (HBO5-verpleegkunde). In 2017-2018 werd nog geen personeel hoger beroepsonderwijs betaald in de hogescholen.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 1 september 2009 werd de vierde graad verpleegkunde afgesplitst van het secundair onderwijs en ondergebracht in het hoger beroepsonderwijs (HBO5). Tot schooljaar 2016-2017 werd voor het bestuurspersoneel en de andere personeelscategorieën enkel het personeel opgenomen van de instellingen die 100% HBO verpleegkunde aanbieden (slechts 4 instellingen). Vanaf schooljaar 2017-2018 werd het aandeel HBO van het onderwijzend personeel van alle 20 instellingen die HBO aanbieden als inschatting gebruikt om het aandeel binnen het bestuurspersoneel en de andere personeelscategorieën te bepalen. Deze werkwijze leidt tot een meer realistische inschatting van HBO-verpleegkunde. Dit zorgt dus wel voor een trendbreuk binnen deze personeelscategorieën.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het kader van de integratieprocedure van het onderwijs van het lange type van de hogescholen in het universitair onderwijs zijn de personeelsleden van het integratiekader die door de Katholieke Universiteit Leuven en de Universiteit Gent zelf worden betaald vanaf 1 januari 2014 niet meer in de personeelsstatistieken van het hogescholenonderwijs opgenomen. De personeelsleden van het integratiekader van de andere universiteiten worden niet meer in de statistieken van het personeel van de hogescholen opgenomen vanaf het academiejaar 2014-2015. Dit telkens om dubbeltellingen te vermijden, want deze personeelsleden worden reeds vermeld in de tabellen van de universiteiten.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Fysieke personen en budgettaire fulltime-equivalenten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personeelsleden worden uitgedrukt in </a:t>
          </a:r>
          <a:r>
            <a:rPr lang="en-US" cap="none" sz="1100" b="0" i="1" u="none" baseline="0">
              <a:solidFill>
                <a:srgbClr val="000000"/>
              </a:solidFill>
              <a:latin typeface="Calibri"/>
              <a:ea typeface="Calibri"/>
              <a:cs typeface="Calibri"/>
            </a:rPr>
            <a:t>aantal fysieke personen</a:t>
          </a:r>
          <a:r>
            <a:rPr lang="en-US" cap="none" sz="1100" b="0" i="0" u="none" baseline="0">
              <a:solidFill>
                <a:srgbClr val="000000"/>
              </a:solidFill>
              <a:latin typeface="Calibri"/>
              <a:ea typeface="Calibri"/>
              <a:cs typeface="Calibri"/>
            </a:rPr>
            <a:t> en </a:t>
          </a:r>
          <a:r>
            <a:rPr lang="en-US" cap="none" sz="1100" b="0" i="1" u="none" baseline="0">
              <a:solidFill>
                <a:srgbClr val="000000"/>
              </a:solidFill>
              <a:latin typeface="Calibri"/>
              <a:ea typeface="Calibri"/>
              <a:cs typeface="Calibri"/>
            </a:rPr>
            <a:t>aantal budgettaire fulltime-equivalenten</a:t>
          </a:r>
          <a:r>
            <a:rPr lang="en-US" cap="none" sz="1100" b="0" i="0" u="none" baseline="0">
              <a:solidFill>
                <a:srgbClr val="000000"/>
              </a:solidFill>
              <a:latin typeface="Calibri"/>
              <a:ea typeface="Calibri"/>
              <a:cs typeface="Calibri"/>
            </a:rPr>
            <a:t>. Er wordt rekening gehouden met korte vervangingen. Alle vervangingen zitten dus in de tabellen fysieke personen en budgettaire fulltime-equivalenten.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a:t>
          </a:r>
          <a:r>
            <a:rPr lang="en-US" cap="none" sz="1100" b="0" i="1" u="none" baseline="0">
              <a:solidFill>
                <a:srgbClr val="000000"/>
              </a:solidFill>
              <a:latin typeface="Calibri"/>
              <a:ea typeface="Calibri"/>
              <a:cs typeface="Calibri"/>
            </a:rPr>
            <a:t>fysieke personen</a:t>
          </a:r>
          <a:r>
            <a:rPr lang="en-US" cap="none" sz="1100" b="0" i="0" u="none" baseline="0">
              <a:solidFill>
                <a:srgbClr val="000000"/>
              </a:solidFill>
              <a:latin typeface="Calibri"/>
              <a:ea typeface="Calibri"/>
              <a:cs typeface="Calibri"/>
            </a:rPr>
            <a:t> worden geregistreerd in het onderwijsniveau en -net waar zij de grootste les-opdracht hebben.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a:t>
          </a:r>
          <a:r>
            <a:rPr lang="en-US" cap="none" sz="1100" b="0" i="1" u="none" baseline="0">
              <a:solidFill>
                <a:srgbClr val="000000"/>
              </a:solidFill>
              <a:latin typeface="Calibri"/>
              <a:ea typeface="Calibri"/>
              <a:cs typeface="Calibri"/>
            </a:rPr>
            <a:t>budgettaire fulltime-equivalenten</a:t>
          </a:r>
          <a:r>
            <a:rPr lang="en-US" cap="none" sz="1100" b="0" i="0" u="none" baseline="0">
              <a:solidFill>
                <a:srgbClr val="000000"/>
              </a:solidFill>
              <a:latin typeface="Calibri"/>
              <a:ea typeface="Calibri"/>
              <a:cs typeface="Calibri"/>
            </a:rPr>
            <a:t> zijn het resultaat van de sommatie van alle deelopdrachten van alle personeelsleden (m.a.w. met inbegrip van de vervangingen van minder dan een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het hogescholenonderwijs zijn de lesopdrachten van de gastprofessoren en de mandaatsver- goedingen niet opgenomen in de budgettaire fulltimes.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Naast de detailgegevens voor het schooljaar 2017-2018 is er ook een historische reeks weergegeven vanaf het schooljaar 2010-2011. Door een staking in de maand januari 2012 kunnen de vermelde budgettaire fulltime-equivalenten voor januari 2012 lager uitvallen dan normaal.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het universitair onderwijs zijn de gastprofessoren, de vervroegd gepensioneerden en de gepensioneerde ZAP-leden die als bezoldigd emeritus verder blijven werken ten laste van de werkingsuitkeringen niet in het cijfermateriaal van het aantal fulltime-equivalenten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tabel met betrekking tot de 'professionele  bachelors voor het onderwijs' en de 'masters'  wordt gebaseerd op de door de betrokkenen behaalde diploma's. (Zie deel 4 Personeel, hoofdstuk 3 Secundair onderwijs, 3,1 Budgettaire fulltime-equivalenten)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het bestuurs-en onderwijzend personeel en de andere personeelscategorieën zijn het aantal personen in kaart gebracht die 60 jaar of ouder zijn en die nog werkzaam zijn in het onderwijs.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Bestuurspersoneel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 worden afzonderlijke detailtabellen opgenomen met het bestuurspersoneel (Zie deel 4 Personeel, hoofdstuk 1 Algemeen overzicht, 1.3 Bestuurspersoneel).  In de tabellen van het bestuurs- en  onderwijzend personeel zit het bestuurspersoneel inbegrepen.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Terbeschikkingstelling voorafgaand aan het rustpensioen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 gewone tabellen van bestuurspersoneel, bestuurs- en onderwijzend personeel en 'andere' personeel zitten de terbeschikkinggestelden voorafgaand aan het rustpensioen en personeelsleden met bonus vervat. Er worden eveneens aparte tabellen opgenomen met de terbeschikkingstelling voorafgaand aan het rustpensioen en de bonus voor bestuurspersoneel, bestuurs- en onderwijzend personeel en 'andere' personeelscategorieën.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Vanaf het schooljaar  2012-2013 geldt een nieuwe regeling.De regeling inzake TBS voorafgaand aan het pensioen voor het personeel van de hogescholen, al dan niet via de bonusregeling, hangt af van de geboortedatum van het betrokken personeelslid: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Regeling voor het Hoger onderwijs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Personeelsleden geboren vóór 1 oktober 1952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Deze personeelsleden kunnen gebruik maken van de bonusregeling zoals vermeld in hoofdstuk II, afdeling 2 van het besluit van 22 februari 2002  betreffende de terbeschikkingstelling wegens persoonlijke aangelegenheden voorafgaand aan het rustpensioen voor de personeelsleden van de hogescholen in de Vlaamse Gemeenschap en van de Hogere Zeevaartschool. Aan deze regeling is niets gewijzigd.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Personeelsleden geboren vanaf 1 oktober 1952 en voor 1 april 1954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Deze personeelsleden kunnen ten vroegste twee jaar voor zij recht hebben op een pensioen ten laste van de schatkist in de TBS-regeling instappen. De berekening van het wachtgeld gebeurt volgens de gewone regels.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Personeelsleden geboren vanaf 1 april 1954 en voor 1 januari 1957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Ook deze personeelsleden kunnen ten vroegste twee jaar voor zij recht hebben op een pensioen ten laste van de schatkist in de TBS-regeling instappen maar voor deze personeelsleden geldt er een vermindering van het wachtgeld. Wanneer de volledige gerechtigde periode van TBS wordt opgenomen, bedraagt het wachtgeld 75% van het wachtgeld volgens artikel 7 van het BVR van 22 februari 2002; wanneer ten hoogste 1 jaar TBS wordt genomen, bedraagt het wachtgeld 77,5% van het wachtgeld volgens artikel 7.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Personeelsleden geboren vanaf 1 januari 1957 en voor 1 januari 1958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Deze personeelsleden kunnen 1 jaar voor zij recht hebben op een pensioen ten laste van de schatkist in de TBS-regeling stappen, waarbij het wachtgeld wordt verminderd tot 75% van het wachtgeld volgens artikel 7 van het BVR van 22 februari 2002.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Personeelsleden geboren vanaf 1 januari 1958 of later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Deze personeelsleden hebben geen recht meer op een TBS.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Regeling voor de overige onderwijsniveaus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Generieke regeling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kleuteronderwijzers die geboren zijn vanaf 1 januari 1959, hebben nog 2 jaar recht op een TBS. Voor de overige personeelsleden (alle personeelsleden met uitzondering van de kleuteronderwijzers) die geboren zijn vanaf 1 januari 1958, wordt de TBS afgeschaft. In afwachting dat de voormelde maatregelen van kracht worden, is er een overgangsregeling voorzien die de duur van de TBS gradueel afbouwt.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Overgangsregeling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Kleuteronderwijzers die geboren zijn vóór 1 januari 1958 kunnen nog 4 jaar TBS opnemen vóór de datum waarop zij recht hebben op een pensioen (P) ten laste van de Openbare schatkist (P-4). De overige personeelsleden  die geboren zijn voor 1 januari 1959 hebben recht op 3 jaar TBS (P-3).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Wie nog kan genieten van de zgn. bonusregeling, kan deze vanaf 1 april 2012 nog opnemen, maar de start van deze bonus schuift op met de pensioenleeftijd.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alle andere personeelscategorieën, met uitzondering van de kleuteronderwijzers, is een gelijk-aardige overgangsregeling vastgelegd. Hier bestaat de overgang uit 2 jaar TBS (P-2) indien de personeelsleden geboren zijn vóór 1 januari 1957 en 1 jaar TBS (P-1) indien geboren voor 1 januari 1958.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Wachtgeld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alle personeelsleden m.u.v. de kleuteronderwijzers geboren voor 1 september 1954 en voor alle kleuteronderwijzers geboren voor 1 april 1956 blijft het wachtgeld ongewijzigd. Voor alle overige personeelsleden wordt het wachtgeld gedifferentieerd verminderd in functie van de duurtijd dat de TBS genomen worden, waarbij de vermindering tussen 17,5% en 25% bedraagt.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A52" sqref="A52"/>
    </sheetView>
  </sheetViews>
  <sheetFormatPr defaultColWidth="9.140625" defaultRowHeight="12.75"/>
  <cols>
    <col min="1" max="1" width="12.140625" style="0" customWidth="1"/>
    <col min="2" max="2" width="3.7109375" style="0" customWidth="1"/>
  </cols>
  <sheetData>
    <row r="1" ht="15">
      <c r="A1" s="217" t="s">
        <v>50</v>
      </c>
    </row>
    <row r="2" ht="15">
      <c r="A2" s="217"/>
    </row>
    <row r="3" spans="1:3" ht="12.75">
      <c r="A3" s="237" t="s">
        <v>124</v>
      </c>
      <c r="C3" s="4" t="s">
        <v>125</v>
      </c>
    </row>
    <row r="5" ht="12.75">
      <c r="A5" s="210" t="s">
        <v>51</v>
      </c>
    </row>
    <row r="6" spans="1:3" ht="12.75">
      <c r="A6" s="237" t="s">
        <v>108</v>
      </c>
      <c r="C6" s="211" t="s">
        <v>52</v>
      </c>
    </row>
    <row r="7" spans="1:3" ht="12.75">
      <c r="A7" s="237" t="s">
        <v>109</v>
      </c>
      <c r="C7" s="211" t="s">
        <v>53</v>
      </c>
    </row>
    <row r="8" spans="1:3" ht="12.75">
      <c r="A8" s="237" t="s">
        <v>110</v>
      </c>
      <c r="C8" s="211" t="s">
        <v>54</v>
      </c>
    </row>
    <row r="9" ht="12.75">
      <c r="C9" s="211"/>
    </row>
    <row r="10" spans="1:3" ht="12.75">
      <c r="A10" s="210" t="s">
        <v>55</v>
      </c>
      <c r="C10" s="211"/>
    </row>
    <row r="11" spans="1:3" ht="12.75">
      <c r="A11" s="237" t="s">
        <v>111</v>
      </c>
      <c r="C11" s="211" t="s">
        <v>56</v>
      </c>
    </row>
    <row r="12" spans="1:3" ht="12.75">
      <c r="A12" s="237" t="s">
        <v>112</v>
      </c>
      <c r="C12" s="211" t="s">
        <v>57</v>
      </c>
    </row>
    <row r="13" spans="1:3" ht="12.75">
      <c r="A13" s="237" t="s">
        <v>113</v>
      </c>
      <c r="C13" s="4" t="s">
        <v>77</v>
      </c>
    </row>
    <row r="14" spans="1:3" ht="12.75">
      <c r="A14" s="237" t="s">
        <v>114</v>
      </c>
      <c r="C14" s="211" t="s">
        <v>58</v>
      </c>
    </row>
    <row r="15" spans="1:3" ht="12.75">
      <c r="A15" s="237" t="s">
        <v>115</v>
      </c>
      <c r="C15" s="211" t="s">
        <v>53</v>
      </c>
    </row>
    <row r="16" spans="1:3" ht="12.75">
      <c r="A16" s="237" t="s">
        <v>116</v>
      </c>
      <c r="C16" s="211" t="s">
        <v>59</v>
      </c>
    </row>
    <row r="17" spans="1:3" ht="12.75">
      <c r="A17" s="237" t="s">
        <v>117</v>
      </c>
      <c r="C17" s="4" t="s">
        <v>76</v>
      </c>
    </row>
    <row r="18" spans="1:3" ht="12.75">
      <c r="A18" s="237" t="s">
        <v>118</v>
      </c>
      <c r="C18" s="211" t="s">
        <v>60</v>
      </c>
    </row>
    <row r="19" spans="1:3" ht="12.75">
      <c r="A19" s="237" t="s">
        <v>119</v>
      </c>
      <c r="C19" s="211" t="s">
        <v>54</v>
      </c>
    </row>
  </sheetData>
  <sheetProtection/>
  <hyperlinks>
    <hyperlink ref="A6" location="'17PALG01'!A1" display="17PALG01"/>
    <hyperlink ref="A7" location="'17PALG02'!A1" display="17PALG02"/>
    <hyperlink ref="A8" location="'17PALG03'!A1" display="17PALG03"/>
    <hyperlink ref="A11" location="'17PALG04'!A1" display="17PALG04"/>
    <hyperlink ref="A12" location="'17PALG05'!A1" display="17PALG05"/>
    <hyperlink ref="A13" location="'17PALG06'!A1" display="17PALG06"/>
    <hyperlink ref="A14" location="'17PALG07'!A1" display="17PALG07"/>
    <hyperlink ref="A15" location="'17PALG08'!A1" display="17PALG08"/>
    <hyperlink ref="A16" location="'17PALG09'!A1" display="17PALG09"/>
    <hyperlink ref="A17" location="'17PALG10'!A1" display="17PALG10"/>
    <hyperlink ref="A18" location="'17PALG11'!A1" display="17PALG11"/>
    <hyperlink ref="A19" location="'17PALG12'!A1" display="17PALG12"/>
    <hyperlink ref="A3" location="TOELICHTING!A1" display="Toelichting"/>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2"/>
    <pageSetUpPr fitToPage="1"/>
  </sheetPr>
  <dimension ref="A1:I66"/>
  <sheetViews>
    <sheetView zoomScalePageLayoutView="0" workbookViewId="0" topLeftCell="A1">
      <selection activeCell="A72" sqref="A72"/>
    </sheetView>
  </sheetViews>
  <sheetFormatPr defaultColWidth="9.28125" defaultRowHeight="12.75"/>
  <cols>
    <col min="1" max="1" width="33.8515625" style="113" customWidth="1"/>
    <col min="2" max="9" width="9.421875" style="113" customWidth="1"/>
    <col min="10" max="16384" width="9.28125" style="113" customWidth="1"/>
  </cols>
  <sheetData>
    <row r="1" ht="12.75">
      <c r="A1" s="112" t="s">
        <v>101</v>
      </c>
    </row>
    <row r="2" spans="1:8" ht="12.75">
      <c r="A2" s="243" t="s">
        <v>17</v>
      </c>
      <c r="B2" s="243"/>
      <c r="C2" s="243"/>
      <c r="D2" s="243"/>
      <c r="E2" s="243"/>
      <c r="F2" s="243"/>
      <c r="G2" s="243"/>
      <c r="H2" s="243"/>
    </row>
    <row r="3" spans="1:5" ht="12.75">
      <c r="A3" s="115"/>
      <c r="B3" s="116"/>
      <c r="C3" s="116"/>
      <c r="D3" s="116"/>
      <c r="E3" s="116"/>
    </row>
    <row r="4" spans="1:8" ht="12.75">
      <c r="A4" s="243" t="s">
        <v>47</v>
      </c>
      <c r="B4" s="243"/>
      <c r="C4" s="243"/>
      <c r="D4" s="243"/>
      <c r="E4" s="243"/>
      <c r="F4" s="243"/>
      <c r="G4" s="243"/>
      <c r="H4" s="243"/>
    </row>
    <row r="5" ht="13.5" thickBot="1">
      <c r="A5" s="114"/>
    </row>
    <row r="6" spans="1:9" ht="12.75">
      <c r="A6" s="117"/>
      <c r="B6" s="118"/>
      <c r="C6" s="118"/>
      <c r="D6" s="118"/>
      <c r="E6" s="118"/>
      <c r="F6" s="118"/>
      <c r="G6" s="118"/>
      <c r="H6" s="118"/>
      <c r="I6" s="118"/>
    </row>
    <row r="7" spans="1:9" s="138" customFormat="1" ht="12.75">
      <c r="A7" s="136"/>
      <c r="B7" s="137" t="s">
        <v>65</v>
      </c>
      <c r="C7" s="218" t="s">
        <v>66</v>
      </c>
      <c r="D7" s="218" t="s">
        <v>67</v>
      </c>
      <c r="E7" s="218" t="s">
        <v>78</v>
      </c>
      <c r="F7" s="218" t="s">
        <v>79</v>
      </c>
      <c r="G7" s="218" t="s">
        <v>80</v>
      </c>
      <c r="H7" s="137" t="s">
        <v>100</v>
      </c>
      <c r="I7" s="137" t="s">
        <v>103</v>
      </c>
    </row>
    <row r="8" spans="1:9" ht="12.75">
      <c r="A8" s="119"/>
      <c r="B8" s="120"/>
      <c r="C8" s="120"/>
      <c r="D8" s="120"/>
      <c r="E8" s="120"/>
      <c r="F8" s="120"/>
      <c r="G8" s="120"/>
      <c r="H8" s="120"/>
      <c r="I8" s="120"/>
    </row>
    <row r="9" spans="1:9" ht="12.75">
      <c r="A9" s="112"/>
      <c r="B9" s="121"/>
      <c r="C9" s="121"/>
      <c r="D9" s="121"/>
      <c r="E9" s="121"/>
      <c r="F9" s="121"/>
      <c r="G9" s="121"/>
      <c r="H9" s="121"/>
      <c r="I9" s="121"/>
    </row>
    <row r="10" spans="1:9" ht="12.75">
      <c r="A10" s="112" t="s">
        <v>7</v>
      </c>
      <c r="B10" s="120"/>
      <c r="C10" s="120"/>
      <c r="D10" s="120"/>
      <c r="E10" s="120"/>
      <c r="F10" s="120"/>
      <c r="G10" s="120"/>
      <c r="H10" s="120"/>
      <c r="I10" s="120"/>
    </row>
    <row r="11" spans="1:9" ht="12.75">
      <c r="A11" s="114" t="s">
        <v>18</v>
      </c>
      <c r="B11" s="122">
        <v>39217</v>
      </c>
      <c r="C11" s="122">
        <v>40493</v>
      </c>
      <c r="D11" s="122">
        <v>40198</v>
      </c>
      <c r="E11" s="122">
        <v>41417</v>
      </c>
      <c r="F11" s="122">
        <v>41808</v>
      </c>
      <c r="G11" s="122">
        <v>42348</v>
      </c>
      <c r="H11" s="122">
        <v>42950</v>
      </c>
      <c r="I11" s="122">
        <v>43746</v>
      </c>
    </row>
    <row r="12" spans="1:9" ht="12.75">
      <c r="A12" s="114" t="s">
        <v>19</v>
      </c>
      <c r="B12" s="122">
        <v>14981</v>
      </c>
      <c r="C12" s="122">
        <v>13733</v>
      </c>
      <c r="D12" s="122">
        <v>15795</v>
      </c>
      <c r="E12" s="122">
        <v>15355</v>
      </c>
      <c r="F12" s="122">
        <v>15680</v>
      </c>
      <c r="G12" s="122">
        <v>15796</v>
      </c>
      <c r="H12" s="122">
        <v>16132</v>
      </c>
      <c r="I12" s="122">
        <v>15704</v>
      </c>
    </row>
    <row r="13" spans="1:9" s="125" customFormat="1" ht="12.75">
      <c r="A13" s="123" t="s">
        <v>4</v>
      </c>
      <c r="B13" s="124">
        <f aca="true" t="shared" si="0" ref="B13:I13">SUM(B11:B12)</f>
        <v>54198</v>
      </c>
      <c r="C13" s="124">
        <f t="shared" si="0"/>
        <v>54226</v>
      </c>
      <c r="D13" s="124">
        <f t="shared" si="0"/>
        <v>55993</v>
      </c>
      <c r="E13" s="124">
        <f t="shared" si="0"/>
        <v>56772</v>
      </c>
      <c r="F13" s="124">
        <f t="shared" si="0"/>
        <v>57488</v>
      </c>
      <c r="G13" s="124">
        <f t="shared" si="0"/>
        <v>58144</v>
      </c>
      <c r="H13" s="124">
        <f t="shared" si="0"/>
        <v>59082</v>
      </c>
      <c r="I13" s="124">
        <f t="shared" si="0"/>
        <v>59450</v>
      </c>
    </row>
    <row r="14" spans="1:9" ht="12.75">
      <c r="A14" s="126"/>
      <c r="B14" s="122"/>
      <c r="C14" s="122"/>
      <c r="D14" s="122"/>
      <c r="E14" s="122"/>
      <c r="F14" s="122"/>
      <c r="G14" s="122"/>
      <c r="H14" s="122"/>
      <c r="I14" s="122"/>
    </row>
    <row r="15" spans="1:9" ht="12.75">
      <c r="A15" s="112" t="s">
        <v>11</v>
      </c>
      <c r="B15" s="122"/>
      <c r="C15" s="122"/>
      <c r="D15" s="122"/>
      <c r="E15" s="122"/>
      <c r="F15" s="122"/>
      <c r="G15" s="122"/>
      <c r="H15" s="122"/>
      <c r="I15" s="122"/>
    </row>
    <row r="16" spans="1:9" ht="12.75">
      <c r="A16" s="114" t="s">
        <v>18</v>
      </c>
      <c r="B16" s="122">
        <v>4910</v>
      </c>
      <c r="C16" s="122">
        <v>5190</v>
      </c>
      <c r="D16" s="122">
        <v>5214</v>
      </c>
      <c r="E16" s="122">
        <v>5231</v>
      </c>
      <c r="F16" s="122">
        <v>5223</v>
      </c>
      <c r="G16" s="122">
        <v>5205</v>
      </c>
      <c r="H16" s="122">
        <v>5175</v>
      </c>
      <c r="I16" s="122">
        <v>5171</v>
      </c>
    </row>
    <row r="17" spans="1:9" ht="12.75">
      <c r="A17" s="114" t="s">
        <v>19</v>
      </c>
      <c r="B17" s="122">
        <v>1913</v>
      </c>
      <c r="C17" s="122">
        <v>1723</v>
      </c>
      <c r="D17" s="122">
        <v>1725</v>
      </c>
      <c r="E17" s="122">
        <v>1777</v>
      </c>
      <c r="F17" s="122">
        <v>1808</v>
      </c>
      <c r="G17" s="122">
        <v>1753</v>
      </c>
      <c r="H17" s="122">
        <v>1768</v>
      </c>
      <c r="I17" s="122">
        <v>1802</v>
      </c>
    </row>
    <row r="18" spans="1:9" s="125" customFormat="1" ht="12.75">
      <c r="A18" s="123" t="s">
        <v>4</v>
      </c>
      <c r="B18" s="124">
        <f aca="true" t="shared" si="1" ref="B18:I18">SUM(B16:B17)</f>
        <v>6823</v>
      </c>
      <c r="C18" s="124">
        <f t="shared" si="1"/>
        <v>6913</v>
      </c>
      <c r="D18" s="124">
        <f t="shared" si="1"/>
        <v>6939</v>
      </c>
      <c r="E18" s="124">
        <f t="shared" si="1"/>
        <v>7008</v>
      </c>
      <c r="F18" s="124">
        <f t="shared" si="1"/>
        <v>7031</v>
      </c>
      <c r="G18" s="124">
        <f t="shared" si="1"/>
        <v>6958</v>
      </c>
      <c r="H18" s="124">
        <f t="shared" si="1"/>
        <v>6943</v>
      </c>
      <c r="I18" s="124">
        <f t="shared" si="1"/>
        <v>6973</v>
      </c>
    </row>
    <row r="19" spans="1:9" ht="12.75">
      <c r="A19" s="114"/>
      <c r="B19" s="122"/>
      <c r="C19" s="122"/>
      <c r="D19" s="122"/>
      <c r="E19" s="122"/>
      <c r="F19" s="122"/>
      <c r="G19" s="122"/>
      <c r="H19" s="122"/>
      <c r="I19" s="122"/>
    </row>
    <row r="20" spans="1:9" ht="12.75">
      <c r="A20" s="112" t="s">
        <v>12</v>
      </c>
      <c r="B20" s="122"/>
      <c r="C20" s="122"/>
      <c r="D20" s="122"/>
      <c r="E20" s="122"/>
      <c r="F20" s="122"/>
      <c r="G20" s="122"/>
      <c r="H20" s="122"/>
      <c r="I20" s="122"/>
    </row>
    <row r="21" spans="1:9" ht="12.75">
      <c r="A21" s="114" t="s">
        <v>18</v>
      </c>
      <c r="B21" s="122">
        <v>46543</v>
      </c>
      <c r="C21" s="122">
        <v>47866</v>
      </c>
      <c r="D21" s="122">
        <v>46842</v>
      </c>
      <c r="E21" s="122">
        <v>46327</v>
      </c>
      <c r="F21" s="122">
        <v>45667</v>
      </c>
      <c r="G21" s="122">
        <v>45722</v>
      </c>
      <c r="H21" s="122">
        <v>45126</v>
      </c>
      <c r="I21" s="122">
        <f>46419-I31</f>
        <v>45288</v>
      </c>
    </row>
    <row r="22" spans="1:9" ht="12.75">
      <c r="A22" s="114" t="s">
        <v>19</v>
      </c>
      <c r="B22" s="122">
        <v>15878</v>
      </c>
      <c r="C22" s="122">
        <v>13947</v>
      </c>
      <c r="D22" s="122">
        <v>14087</v>
      </c>
      <c r="E22" s="122">
        <v>14094</v>
      </c>
      <c r="F22" s="122">
        <v>14297</v>
      </c>
      <c r="G22" s="122">
        <v>13909</v>
      </c>
      <c r="H22" s="122">
        <v>14627</v>
      </c>
      <c r="I22" s="122">
        <f>14850-I32</f>
        <v>14506</v>
      </c>
    </row>
    <row r="23" spans="1:9" s="125" customFormat="1" ht="12.75">
      <c r="A23" s="123" t="s">
        <v>4</v>
      </c>
      <c r="B23" s="124">
        <f aca="true" t="shared" si="2" ref="B23:I23">SUM(B21:B22)</f>
        <v>62421</v>
      </c>
      <c r="C23" s="124">
        <f t="shared" si="2"/>
        <v>61813</v>
      </c>
      <c r="D23" s="124">
        <f t="shared" si="2"/>
        <v>60929</v>
      </c>
      <c r="E23" s="124">
        <f t="shared" si="2"/>
        <v>60421</v>
      </c>
      <c r="F23" s="124">
        <f t="shared" si="2"/>
        <v>59964</v>
      </c>
      <c r="G23" s="124">
        <f t="shared" si="2"/>
        <v>59631</v>
      </c>
      <c r="H23" s="124">
        <f t="shared" si="2"/>
        <v>59753</v>
      </c>
      <c r="I23" s="124">
        <f t="shared" si="2"/>
        <v>59794</v>
      </c>
    </row>
    <row r="24" spans="1:9" ht="12.75">
      <c r="A24" s="126"/>
      <c r="B24" s="122"/>
      <c r="C24" s="122"/>
      <c r="D24" s="122"/>
      <c r="E24" s="122"/>
      <c r="F24" s="122"/>
      <c r="G24" s="122"/>
      <c r="H24" s="122"/>
      <c r="I24" s="122"/>
    </row>
    <row r="25" spans="1:9" ht="12.75">
      <c r="A25" s="112" t="s">
        <v>13</v>
      </c>
      <c r="B25" s="122"/>
      <c r="C25" s="122"/>
      <c r="D25" s="122"/>
      <c r="E25" s="122"/>
      <c r="F25" s="122"/>
      <c r="G25" s="122"/>
      <c r="H25" s="122"/>
      <c r="I25" s="122"/>
    </row>
    <row r="26" spans="1:9" ht="12.75">
      <c r="A26" s="114" t="s">
        <v>18</v>
      </c>
      <c r="B26" s="122">
        <v>4615</v>
      </c>
      <c r="C26" s="122">
        <v>4923</v>
      </c>
      <c r="D26" s="122">
        <v>5042</v>
      </c>
      <c r="E26" s="122">
        <v>5215</v>
      </c>
      <c r="F26" s="122">
        <v>5338</v>
      </c>
      <c r="G26" s="122">
        <v>5470</v>
      </c>
      <c r="H26" s="122">
        <v>5563</v>
      </c>
      <c r="I26" s="122">
        <v>5624</v>
      </c>
    </row>
    <row r="27" spans="1:9" ht="12.75">
      <c r="A27" s="114" t="s">
        <v>19</v>
      </c>
      <c r="B27" s="122">
        <v>2119</v>
      </c>
      <c r="C27" s="122">
        <v>2044</v>
      </c>
      <c r="D27" s="122">
        <v>2074</v>
      </c>
      <c r="E27" s="122">
        <v>2119</v>
      </c>
      <c r="F27" s="122">
        <v>2140</v>
      </c>
      <c r="G27" s="122">
        <v>2103</v>
      </c>
      <c r="H27" s="122">
        <v>2095</v>
      </c>
      <c r="I27" s="122">
        <v>2170</v>
      </c>
    </row>
    <row r="28" spans="1:9" s="125" customFormat="1" ht="12.75">
      <c r="A28" s="123" t="s">
        <v>4</v>
      </c>
      <c r="B28" s="124">
        <f aca="true" t="shared" si="3" ref="B28:I28">SUM(B26:B27)</f>
        <v>6734</v>
      </c>
      <c r="C28" s="124">
        <f t="shared" si="3"/>
        <v>6967</v>
      </c>
      <c r="D28" s="124">
        <f t="shared" si="3"/>
        <v>7116</v>
      </c>
      <c r="E28" s="124">
        <f t="shared" si="3"/>
        <v>7334</v>
      </c>
      <c r="F28" s="124">
        <f t="shared" si="3"/>
        <v>7478</v>
      </c>
      <c r="G28" s="124">
        <f t="shared" si="3"/>
        <v>7573</v>
      </c>
      <c r="H28" s="124">
        <f t="shared" si="3"/>
        <v>7658</v>
      </c>
      <c r="I28" s="124">
        <f t="shared" si="3"/>
        <v>7794</v>
      </c>
    </row>
    <row r="29" spans="1:9" s="125" customFormat="1" ht="12.75">
      <c r="A29" s="123"/>
      <c r="B29" s="127"/>
      <c r="C29" s="127"/>
      <c r="D29" s="127"/>
      <c r="E29" s="127"/>
      <c r="F29" s="127"/>
      <c r="G29" s="127"/>
      <c r="H29" s="127"/>
      <c r="I29" s="127"/>
    </row>
    <row r="30" spans="1:9" ht="12.75">
      <c r="A30" s="112" t="s">
        <v>120</v>
      </c>
      <c r="B30" s="122"/>
      <c r="C30" s="122"/>
      <c r="D30" s="122"/>
      <c r="E30" s="122"/>
      <c r="F30" s="122"/>
      <c r="G30" s="122"/>
      <c r="H30" s="122"/>
      <c r="I30" s="122"/>
    </row>
    <row r="31" spans="1:9" ht="12.75">
      <c r="A31" s="114" t="s">
        <v>18</v>
      </c>
      <c r="B31" s="122">
        <v>736</v>
      </c>
      <c r="C31" s="122">
        <v>804</v>
      </c>
      <c r="D31" s="122">
        <v>838</v>
      </c>
      <c r="E31" s="122">
        <v>920</v>
      </c>
      <c r="F31" s="122">
        <v>1017</v>
      </c>
      <c r="G31" s="122">
        <v>1075</v>
      </c>
      <c r="H31" s="122">
        <v>1127</v>
      </c>
      <c r="I31" s="122">
        <v>1131</v>
      </c>
    </row>
    <row r="32" spans="1:9" ht="12.75">
      <c r="A32" s="114" t="s">
        <v>19</v>
      </c>
      <c r="B32" s="122">
        <v>359</v>
      </c>
      <c r="C32" s="122">
        <v>376</v>
      </c>
      <c r="D32" s="122">
        <v>432</v>
      </c>
      <c r="E32" s="122">
        <v>454</v>
      </c>
      <c r="F32" s="122">
        <v>453</v>
      </c>
      <c r="G32" s="122">
        <v>438</v>
      </c>
      <c r="H32" s="122">
        <v>411</v>
      </c>
      <c r="I32" s="122">
        <v>344</v>
      </c>
    </row>
    <row r="33" spans="1:9" s="125" customFormat="1" ht="12.75">
      <c r="A33" s="123" t="s">
        <v>4</v>
      </c>
      <c r="B33" s="124">
        <f aca="true" t="shared" si="4" ref="B33:I33">SUM(B31:B32)</f>
        <v>1095</v>
      </c>
      <c r="C33" s="124">
        <f t="shared" si="4"/>
        <v>1180</v>
      </c>
      <c r="D33" s="124">
        <f t="shared" si="4"/>
        <v>1270</v>
      </c>
      <c r="E33" s="124">
        <f t="shared" si="4"/>
        <v>1374</v>
      </c>
      <c r="F33" s="124">
        <f t="shared" si="4"/>
        <v>1470</v>
      </c>
      <c r="G33" s="124">
        <f t="shared" si="4"/>
        <v>1513</v>
      </c>
      <c r="H33" s="124">
        <f t="shared" si="4"/>
        <v>1538</v>
      </c>
      <c r="I33" s="124">
        <f t="shared" si="4"/>
        <v>1475</v>
      </c>
    </row>
    <row r="34" spans="1:9" ht="12.75">
      <c r="A34" s="114"/>
      <c r="B34" s="122"/>
      <c r="C34" s="122"/>
      <c r="D34" s="122"/>
      <c r="E34" s="122"/>
      <c r="F34" s="122"/>
      <c r="G34" s="122"/>
      <c r="H34" s="122"/>
      <c r="I34" s="122"/>
    </row>
    <row r="35" spans="1:9" ht="12.75">
      <c r="A35" s="112" t="s">
        <v>14</v>
      </c>
      <c r="B35" s="122"/>
      <c r="C35" s="122"/>
      <c r="D35" s="122"/>
      <c r="E35" s="122"/>
      <c r="F35" s="122"/>
      <c r="G35" s="122"/>
      <c r="H35" s="122"/>
      <c r="I35" s="122"/>
    </row>
    <row r="36" spans="1:9" ht="12.75">
      <c r="A36" s="114" t="s">
        <v>18</v>
      </c>
      <c r="B36" s="122">
        <v>5483</v>
      </c>
      <c r="C36" s="122">
        <v>5414</v>
      </c>
      <c r="D36" s="122">
        <v>5405</v>
      </c>
      <c r="E36" s="122">
        <v>4773</v>
      </c>
      <c r="F36" s="122">
        <v>4499</v>
      </c>
      <c r="G36" s="122">
        <v>4574</v>
      </c>
      <c r="H36" s="122">
        <v>4493</v>
      </c>
      <c r="I36" s="122">
        <v>4550</v>
      </c>
    </row>
    <row r="37" spans="1:9" ht="12.75">
      <c r="A37" s="114" t="s">
        <v>19</v>
      </c>
      <c r="B37" s="122">
        <v>4737</v>
      </c>
      <c r="C37" s="122">
        <v>4720</v>
      </c>
      <c r="D37" s="122">
        <v>4748</v>
      </c>
      <c r="E37" s="122">
        <v>4012</v>
      </c>
      <c r="F37" s="122">
        <v>3877</v>
      </c>
      <c r="G37" s="122">
        <v>3754</v>
      </c>
      <c r="H37" s="122">
        <v>3910</v>
      </c>
      <c r="I37" s="122">
        <v>4034</v>
      </c>
    </row>
    <row r="38" spans="1:9" s="125" customFormat="1" ht="12.75">
      <c r="A38" s="123" t="s">
        <v>4</v>
      </c>
      <c r="B38" s="124">
        <f aca="true" t="shared" si="5" ref="B38:I38">SUM(B36:B37)</f>
        <v>10220</v>
      </c>
      <c r="C38" s="124">
        <f t="shared" si="5"/>
        <v>10134</v>
      </c>
      <c r="D38" s="124">
        <f t="shared" si="5"/>
        <v>10153</v>
      </c>
      <c r="E38" s="124">
        <f t="shared" si="5"/>
        <v>8785</v>
      </c>
      <c r="F38" s="124">
        <f t="shared" si="5"/>
        <v>8376</v>
      </c>
      <c r="G38" s="124">
        <f t="shared" si="5"/>
        <v>8328</v>
      </c>
      <c r="H38" s="124">
        <f t="shared" si="5"/>
        <v>8403</v>
      </c>
      <c r="I38" s="124">
        <f t="shared" si="5"/>
        <v>8584</v>
      </c>
    </row>
    <row r="39" spans="1:9" s="125" customFormat="1" ht="12.75">
      <c r="A39" s="123"/>
      <c r="B39" s="127"/>
      <c r="C39" s="127"/>
      <c r="D39" s="127"/>
      <c r="E39" s="127"/>
      <c r="F39" s="127"/>
      <c r="G39" s="127"/>
      <c r="H39" s="127"/>
      <c r="I39" s="127"/>
    </row>
    <row r="40" spans="1:9" s="39" customFormat="1" ht="12.75">
      <c r="A40" s="203" t="s">
        <v>48</v>
      </c>
      <c r="B40" s="41"/>
      <c r="C40" s="41"/>
      <c r="D40" s="41"/>
      <c r="E40" s="41"/>
      <c r="F40" s="41"/>
      <c r="G40" s="41"/>
      <c r="H40" s="41"/>
      <c r="I40" s="41"/>
    </row>
    <row r="41" spans="1:9" s="39" customFormat="1" ht="12.75">
      <c r="A41" s="28" t="s">
        <v>18</v>
      </c>
      <c r="B41" s="36">
        <v>0</v>
      </c>
      <c r="C41" s="36">
        <v>0</v>
      </c>
      <c r="D41" s="36">
        <v>0</v>
      </c>
      <c r="E41" s="36">
        <v>0</v>
      </c>
      <c r="F41" s="36">
        <v>0</v>
      </c>
      <c r="G41" s="36">
        <v>0</v>
      </c>
      <c r="H41" s="36">
        <v>0</v>
      </c>
      <c r="I41" s="36">
        <v>681</v>
      </c>
    </row>
    <row r="42" spans="1:9" s="39" customFormat="1" ht="12.75">
      <c r="A42" s="28" t="s">
        <v>19</v>
      </c>
      <c r="B42" s="36">
        <v>790</v>
      </c>
      <c r="C42" s="36">
        <v>825</v>
      </c>
      <c r="D42" s="36">
        <v>834</v>
      </c>
      <c r="E42" s="36">
        <v>865</v>
      </c>
      <c r="F42" s="36">
        <v>980</v>
      </c>
      <c r="G42" s="36">
        <v>1088</v>
      </c>
      <c r="H42" s="36">
        <v>1196</v>
      </c>
      <c r="I42" s="36">
        <v>551</v>
      </c>
    </row>
    <row r="43" spans="1:9" s="39" customFormat="1" ht="12.75">
      <c r="A43" s="37" t="s">
        <v>4</v>
      </c>
      <c r="B43" s="38">
        <f aca="true" t="shared" si="6" ref="B43:I43">B41+B42</f>
        <v>790</v>
      </c>
      <c r="C43" s="38">
        <f t="shared" si="6"/>
        <v>825</v>
      </c>
      <c r="D43" s="38">
        <f t="shared" si="6"/>
        <v>834</v>
      </c>
      <c r="E43" s="38">
        <f t="shared" si="6"/>
        <v>865</v>
      </c>
      <c r="F43" s="38">
        <f t="shared" si="6"/>
        <v>980</v>
      </c>
      <c r="G43" s="38">
        <f t="shared" si="6"/>
        <v>1088</v>
      </c>
      <c r="H43" s="38">
        <f t="shared" si="6"/>
        <v>1196</v>
      </c>
      <c r="I43" s="38">
        <f t="shared" si="6"/>
        <v>1232</v>
      </c>
    </row>
    <row r="44" spans="1:9" ht="12.75">
      <c r="A44" s="123"/>
      <c r="B44" s="122"/>
      <c r="C44" s="122"/>
      <c r="D44" s="122"/>
      <c r="E44" s="122"/>
      <c r="F44" s="122"/>
      <c r="G44" s="122"/>
      <c r="H44" s="122"/>
      <c r="I44" s="122"/>
    </row>
    <row r="45" spans="1:9" ht="12.75">
      <c r="A45" s="1" t="s">
        <v>45</v>
      </c>
      <c r="B45" s="122"/>
      <c r="C45" s="122"/>
      <c r="D45" s="122"/>
      <c r="E45" s="122"/>
      <c r="F45" s="122"/>
      <c r="G45" s="122"/>
      <c r="H45" s="122"/>
      <c r="I45" s="122"/>
    </row>
    <row r="46" spans="1:9" ht="12.75">
      <c r="A46" s="114" t="s">
        <v>18</v>
      </c>
      <c r="B46" s="122">
        <v>3328</v>
      </c>
      <c r="C46" s="122">
        <v>3395</v>
      </c>
      <c r="D46" s="122">
        <v>3451</v>
      </c>
      <c r="E46" s="122">
        <v>3487</v>
      </c>
      <c r="F46" s="122">
        <v>3472</v>
      </c>
      <c r="G46" s="122">
        <v>3485</v>
      </c>
      <c r="H46" s="122">
        <v>3496</v>
      </c>
      <c r="I46" s="122">
        <v>3530</v>
      </c>
    </row>
    <row r="47" spans="1:9" ht="12.75">
      <c r="A47" s="114" t="s">
        <v>19</v>
      </c>
      <c r="B47" s="122">
        <v>2318</v>
      </c>
      <c r="C47" s="122">
        <v>2285</v>
      </c>
      <c r="D47" s="122">
        <v>2292</v>
      </c>
      <c r="E47" s="122">
        <v>2327</v>
      </c>
      <c r="F47" s="122">
        <v>2385</v>
      </c>
      <c r="G47" s="122">
        <v>2421</v>
      </c>
      <c r="H47" s="122">
        <v>2569</v>
      </c>
      <c r="I47" s="122">
        <v>2616</v>
      </c>
    </row>
    <row r="48" spans="1:9" s="125" customFormat="1" ht="12.75">
      <c r="A48" s="123" t="s">
        <v>4</v>
      </c>
      <c r="B48" s="124">
        <f aca="true" t="shared" si="7" ref="B48:I48">SUM(B46:B47)</f>
        <v>5646</v>
      </c>
      <c r="C48" s="124">
        <f t="shared" si="7"/>
        <v>5680</v>
      </c>
      <c r="D48" s="124">
        <f t="shared" si="7"/>
        <v>5743</v>
      </c>
      <c r="E48" s="124">
        <f t="shared" si="7"/>
        <v>5814</v>
      </c>
      <c r="F48" s="124">
        <f t="shared" si="7"/>
        <v>5857</v>
      </c>
      <c r="G48" s="124">
        <f t="shared" si="7"/>
        <v>5906</v>
      </c>
      <c r="H48" s="124">
        <f t="shared" si="7"/>
        <v>6065</v>
      </c>
      <c r="I48" s="124">
        <f t="shared" si="7"/>
        <v>6146</v>
      </c>
    </row>
    <row r="49" spans="1:9" ht="12.75">
      <c r="A49" s="114"/>
      <c r="B49" s="122"/>
      <c r="C49" s="122"/>
      <c r="D49" s="122"/>
      <c r="E49" s="122"/>
      <c r="F49" s="122"/>
      <c r="G49" s="122"/>
      <c r="H49" s="122"/>
      <c r="I49" s="122"/>
    </row>
    <row r="50" spans="1:9" ht="12.75">
      <c r="A50" s="1" t="s">
        <v>46</v>
      </c>
      <c r="B50" s="122"/>
      <c r="C50" s="122"/>
      <c r="D50" s="122"/>
      <c r="E50" s="122"/>
      <c r="F50" s="122"/>
      <c r="G50" s="122"/>
      <c r="H50" s="122"/>
      <c r="I50" s="122"/>
    </row>
    <row r="51" spans="1:9" ht="12.75">
      <c r="A51" s="114" t="s">
        <v>18</v>
      </c>
      <c r="B51" s="122">
        <v>550</v>
      </c>
      <c r="C51" s="122">
        <v>569</v>
      </c>
      <c r="D51" s="122">
        <v>575</v>
      </c>
      <c r="E51" s="122">
        <v>589</v>
      </c>
      <c r="F51" s="122">
        <v>568</v>
      </c>
      <c r="G51" s="122">
        <v>559</v>
      </c>
      <c r="H51" s="122">
        <v>525</v>
      </c>
      <c r="I51" s="122">
        <v>500</v>
      </c>
    </row>
    <row r="52" spans="1:9" ht="12.75">
      <c r="A52" s="114" t="s">
        <v>19</v>
      </c>
      <c r="B52" s="122">
        <v>704</v>
      </c>
      <c r="C52" s="122">
        <v>692</v>
      </c>
      <c r="D52" s="122">
        <v>640</v>
      </c>
      <c r="E52" s="122">
        <v>605</v>
      </c>
      <c r="F52" s="122">
        <v>632</v>
      </c>
      <c r="G52" s="122">
        <v>637</v>
      </c>
      <c r="H52" s="122">
        <v>654</v>
      </c>
      <c r="I52" s="122">
        <v>644</v>
      </c>
    </row>
    <row r="53" spans="1:9" s="125" customFormat="1" ht="12.75">
      <c r="A53" s="123" t="s">
        <v>4</v>
      </c>
      <c r="B53" s="124">
        <f aca="true" t="shared" si="8" ref="B53:I53">SUM(B51:B52)</f>
        <v>1254</v>
      </c>
      <c r="C53" s="124">
        <f t="shared" si="8"/>
        <v>1261</v>
      </c>
      <c r="D53" s="124">
        <f t="shared" si="8"/>
        <v>1215</v>
      </c>
      <c r="E53" s="124">
        <f t="shared" si="8"/>
        <v>1194</v>
      </c>
      <c r="F53" s="124">
        <f t="shared" si="8"/>
        <v>1200</v>
      </c>
      <c r="G53" s="124">
        <f t="shared" si="8"/>
        <v>1196</v>
      </c>
      <c r="H53" s="124">
        <f t="shared" si="8"/>
        <v>1179</v>
      </c>
      <c r="I53" s="124">
        <f t="shared" si="8"/>
        <v>1144</v>
      </c>
    </row>
    <row r="54" spans="1:9" s="125" customFormat="1" ht="12.75">
      <c r="A54" s="123"/>
      <c r="B54" s="127"/>
      <c r="C54" s="127"/>
      <c r="D54" s="127"/>
      <c r="E54" s="127"/>
      <c r="F54" s="127"/>
      <c r="G54" s="127"/>
      <c r="H54" s="127"/>
      <c r="I54" s="127"/>
    </row>
    <row r="55" spans="1:9" ht="12.75">
      <c r="A55" s="112" t="s">
        <v>15</v>
      </c>
      <c r="B55" s="122"/>
      <c r="C55" s="122"/>
      <c r="D55" s="122"/>
      <c r="E55" s="122"/>
      <c r="F55" s="122"/>
      <c r="G55" s="122"/>
      <c r="H55" s="122"/>
      <c r="I55" s="122"/>
    </row>
    <row r="56" spans="1:9" ht="12.75">
      <c r="A56" s="114" t="s">
        <v>18</v>
      </c>
      <c r="B56" s="122">
        <v>3637</v>
      </c>
      <c r="C56" s="122">
        <v>3732</v>
      </c>
      <c r="D56" s="122">
        <v>3735</v>
      </c>
      <c r="E56" s="122">
        <v>3788</v>
      </c>
      <c r="F56" s="122">
        <v>3804</v>
      </c>
      <c r="G56" s="122">
        <v>3809</v>
      </c>
      <c r="H56" s="122">
        <v>3800</v>
      </c>
      <c r="I56" s="122">
        <v>3881</v>
      </c>
    </row>
    <row r="57" spans="1:9" ht="12.75">
      <c r="A57" s="114" t="s">
        <v>19</v>
      </c>
      <c r="B57" s="122">
        <v>1705</v>
      </c>
      <c r="C57" s="122">
        <v>1631</v>
      </c>
      <c r="D57" s="122">
        <v>1652</v>
      </c>
      <c r="E57" s="122">
        <v>1640</v>
      </c>
      <c r="F57" s="122">
        <v>1629</v>
      </c>
      <c r="G57" s="122">
        <v>1591</v>
      </c>
      <c r="H57" s="122">
        <v>1604</v>
      </c>
      <c r="I57" s="122">
        <v>1563</v>
      </c>
    </row>
    <row r="58" spans="1:9" s="125" customFormat="1" ht="12.75">
      <c r="A58" s="123" t="s">
        <v>4</v>
      </c>
      <c r="B58" s="124">
        <f aca="true" t="shared" si="9" ref="B58:I58">SUM(B56:B57)</f>
        <v>5342</v>
      </c>
      <c r="C58" s="124">
        <f t="shared" si="9"/>
        <v>5363</v>
      </c>
      <c r="D58" s="124">
        <f t="shared" si="9"/>
        <v>5387</v>
      </c>
      <c r="E58" s="124">
        <f t="shared" si="9"/>
        <v>5428</v>
      </c>
      <c r="F58" s="124">
        <f t="shared" si="9"/>
        <v>5433</v>
      </c>
      <c r="G58" s="124">
        <f t="shared" si="9"/>
        <v>5400</v>
      </c>
      <c r="H58" s="124">
        <f t="shared" si="9"/>
        <v>5404</v>
      </c>
      <c r="I58" s="124">
        <f t="shared" si="9"/>
        <v>5444</v>
      </c>
    </row>
    <row r="59" spans="1:9" ht="12.75">
      <c r="A59" s="123"/>
      <c r="B59" s="122"/>
      <c r="C59" s="122"/>
      <c r="D59" s="122"/>
      <c r="E59" s="122"/>
      <c r="F59" s="122"/>
      <c r="G59" s="122"/>
      <c r="H59" s="122"/>
      <c r="I59" s="122"/>
    </row>
    <row r="60" spans="1:9" ht="12.75">
      <c r="A60" s="183"/>
      <c r="B60" s="184"/>
      <c r="C60" s="184"/>
      <c r="D60" s="184"/>
      <c r="E60" s="184"/>
      <c r="F60" s="184"/>
      <c r="G60" s="184"/>
      <c r="H60" s="184"/>
      <c r="I60" s="184"/>
    </row>
    <row r="61" spans="1:9" s="27" customFormat="1" ht="12.75">
      <c r="A61" s="42" t="s">
        <v>88</v>
      </c>
      <c r="B61" s="36"/>
      <c r="C61" s="36"/>
      <c r="D61" s="36"/>
      <c r="E61" s="36"/>
      <c r="F61" s="36"/>
      <c r="G61" s="36"/>
      <c r="H61" s="36"/>
      <c r="I61" s="36"/>
    </row>
    <row r="62" spans="1:9" s="27" customFormat="1" ht="12.75">
      <c r="A62" s="28" t="s">
        <v>18</v>
      </c>
      <c r="B62" s="36">
        <f aca="true" t="shared" si="10" ref="B62:G63">SUM(B11,B16,B21,B26,B31,B36,B46,B51,B56,B41)</f>
        <v>109019</v>
      </c>
      <c r="C62" s="36">
        <f t="shared" si="10"/>
        <v>112386</v>
      </c>
      <c r="D62" s="36">
        <f t="shared" si="10"/>
        <v>111300</v>
      </c>
      <c r="E62" s="36">
        <f t="shared" si="10"/>
        <v>111747</v>
      </c>
      <c r="F62" s="36">
        <f t="shared" si="10"/>
        <v>111396</v>
      </c>
      <c r="G62" s="36">
        <f t="shared" si="10"/>
        <v>112247</v>
      </c>
      <c r="H62" s="36">
        <f>SUM(H11,H16,H21,H26,H31,H36,H46,H51,H56,H41)</f>
        <v>112255</v>
      </c>
      <c r="I62" s="36">
        <f>SUM(I11,I16,I21,I26,I31,I36,I46,I51,I56,I41)</f>
        <v>114102</v>
      </c>
    </row>
    <row r="63" spans="1:9" s="27" customFormat="1" ht="12.75">
      <c r="A63" s="28" t="s">
        <v>19</v>
      </c>
      <c r="B63" s="36">
        <f t="shared" si="10"/>
        <v>45504</v>
      </c>
      <c r="C63" s="36">
        <f t="shared" si="10"/>
        <v>41976</v>
      </c>
      <c r="D63" s="36">
        <f t="shared" si="10"/>
        <v>44279</v>
      </c>
      <c r="E63" s="36">
        <f t="shared" si="10"/>
        <v>43248</v>
      </c>
      <c r="F63" s="36">
        <f t="shared" si="10"/>
        <v>43881</v>
      </c>
      <c r="G63" s="36">
        <f t="shared" si="10"/>
        <v>43490</v>
      </c>
      <c r="H63" s="36">
        <f>SUM(H12,H17,H22,H27,H32,H37,H47,H52,H57,H42)</f>
        <v>44966</v>
      </c>
      <c r="I63" s="36">
        <f>SUM(I12,I17,I22,I27,I32,I37,I47,I52,I57,I42)</f>
        <v>43934</v>
      </c>
    </row>
    <row r="64" spans="1:9" s="39" customFormat="1" ht="12.75">
      <c r="A64" s="37" t="s">
        <v>4</v>
      </c>
      <c r="B64" s="38">
        <f aca="true" t="shared" si="11" ref="B64:I64">SUM(B62:B63)</f>
        <v>154523</v>
      </c>
      <c r="C64" s="38">
        <f t="shared" si="11"/>
        <v>154362</v>
      </c>
      <c r="D64" s="38">
        <f t="shared" si="11"/>
        <v>155579</v>
      </c>
      <c r="E64" s="38">
        <f t="shared" si="11"/>
        <v>154995</v>
      </c>
      <c r="F64" s="38">
        <f t="shared" si="11"/>
        <v>155277</v>
      </c>
      <c r="G64" s="38">
        <f t="shared" si="11"/>
        <v>155737</v>
      </c>
      <c r="H64" s="38">
        <f t="shared" si="11"/>
        <v>157221</v>
      </c>
      <c r="I64" s="38">
        <f t="shared" si="11"/>
        <v>158036</v>
      </c>
    </row>
    <row r="66" ht="12.75">
      <c r="A66" s="216"/>
    </row>
  </sheetData>
  <sheetProtection/>
  <mergeCells count="2">
    <mergeCell ref="A2:H2"/>
    <mergeCell ref="A4:H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92" r:id="rId1"/>
  <headerFooter alignWithMargins="0">
    <oddFooter>&amp;R&amp;A</oddFooter>
  </headerFooter>
  <rowBreaks count="1" manualBreakCount="1">
    <brk id="48" max="8" man="1"/>
  </rowBreaks>
</worksheet>
</file>

<file path=xl/worksheets/sheet1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57" sqref="A57"/>
    </sheetView>
  </sheetViews>
  <sheetFormatPr defaultColWidth="9.140625" defaultRowHeight="12.75"/>
  <cols>
    <col min="1" max="1" width="28.00390625" style="0" customWidth="1"/>
    <col min="2" max="2" width="11.00390625" style="0" customWidth="1"/>
    <col min="3" max="4" width="10.28125" style="0" customWidth="1"/>
    <col min="10" max="10" width="10.7109375" style="0" customWidth="1"/>
    <col min="13" max="13" width="8.00390625" style="0" customWidth="1"/>
  </cols>
  <sheetData>
    <row r="1" spans="1:10" ht="12.75">
      <c r="A1" s="1" t="s">
        <v>101</v>
      </c>
      <c r="B1" s="2"/>
      <c r="C1" s="2"/>
      <c r="D1" s="2"/>
      <c r="E1" s="2"/>
      <c r="F1" s="2"/>
      <c r="G1" s="2"/>
      <c r="H1" s="2"/>
      <c r="I1" s="2"/>
      <c r="J1" s="2"/>
    </row>
    <row r="2" spans="1:10" ht="12.75">
      <c r="A2" s="5" t="s">
        <v>39</v>
      </c>
      <c r="B2" s="6"/>
      <c r="C2" s="6"/>
      <c r="D2" s="6"/>
      <c r="E2" s="7"/>
      <c r="F2" s="7"/>
      <c r="G2" s="6"/>
      <c r="H2" s="6"/>
      <c r="I2" s="6"/>
      <c r="J2" s="6"/>
    </row>
    <row r="3" spans="1:10" ht="12.75">
      <c r="A3" s="6"/>
      <c r="B3" s="6"/>
      <c r="C3" s="6"/>
      <c r="D3" s="6"/>
      <c r="E3" s="7"/>
      <c r="F3" s="5"/>
      <c r="G3" s="6"/>
      <c r="H3" s="6"/>
      <c r="I3" s="6"/>
      <c r="J3" s="6"/>
    </row>
    <row r="4" spans="1:10" ht="12.75">
      <c r="A4" s="5" t="s">
        <v>105</v>
      </c>
      <c r="B4" s="6"/>
      <c r="C4" s="6"/>
      <c r="D4" s="6"/>
      <c r="E4" s="7"/>
      <c r="F4" s="7"/>
      <c r="G4" s="6"/>
      <c r="H4" s="6"/>
      <c r="I4" s="6"/>
      <c r="J4" s="6"/>
    </row>
    <row r="5" spans="1:10" ht="12.75">
      <c r="A5" s="4"/>
      <c r="B5" s="4"/>
      <c r="C5" s="4"/>
      <c r="D5" s="4"/>
      <c r="E5" s="4"/>
      <c r="F5" s="4"/>
      <c r="G5" s="4"/>
      <c r="H5" s="4"/>
      <c r="I5" s="4"/>
      <c r="J5" s="4"/>
    </row>
    <row r="6" spans="1:10" ht="12.75">
      <c r="A6" s="5" t="s">
        <v>87</v>
      </c>
      <c r="B6" s="59"/>
      <c r="C6" s="59"/>
      <c r="D6" s="59"/>
      <c r="E6" s="59"/>
      <c r="F6" s="60"/>
      <c r="G6" s="59"/>
      <c r="H6" s="59"/>
      <c r="I6" s="59"/>
      <c r="J6" s="59"/>
    </row>
    <row r="7" spans="1:10" ht="13.5" thickBot="1">
      <c r="A7" s="2"/>
      <c r="B7" s="12"/>
      <c r="C7" s="12"/>
      <c r="D7" s="12"/>
      <c r="E7" s="12"/>
      <c r="F7" s="12"/>
      <c r="G7" s="12"/>
      <c r="H7" s="12"/>
      <c r="I7" s="12"/>
      <c r="J7" s="12"/>
    </row>
    <row r="8" spans="1:10" ht="12.75">
      <c r="A8" s="61"/>
      <c r="B8" s="62" t="s">
        <v>24</v>
      </c>
      <c r="C8" s="63"/>
      <c r="D8" s="63"/>
      <c r="E8" s="62" t="s">
        <v>25</v>
      </c>
      <c r="F8" s="63"/>
      <c r="G8" s="63"/>
      <c r="H8" s="62" t="s">
        <v>4</v>
      </c>
      <c r="I8" s="63"/>
      <c r="J8" s="63"/>
    </row>
    <row r="9" spans="1:10" ht="12.75">
      <c r="A9" s="195" t="s">
        <v>26</v>
      </c>
      <c r="B9" s="65" t="s">
        <v>5</v>
      </c>
      <c r="C9" s="66" t="s">
        <v>6</v>
      </c>
      <c r="D9" s="66" t="s">
        <v>4</v>
      </c>
      <c r="E9" s="65" t="s">
        <v>5</v>
      </c>
      <c r="F9" s="66" t="s">
        <v>6</v>
      </c>
      <c r="G9" s="66" t="s">
        <v>4</v>
      </c>
      <c r="H9" s="65" t="s">
        <v>5</v>
      </c>
      <c r="I9" s="66" t="s">
        <v>6</v>
      </c>
      <c r="J9" s="66" t="s">
        <v>4</v>
      </c>
    </row>
    <row r="10" spans="1:10" ht="12.75">
      <c r="A10" s="67"/>
      <c r="B10" s="13"/>
      <c r="C10" s="68"/>
      <c r="D10" s="68"/>
      <c r="E10" s="13"/>
      <c r="F10" s="68"/>
      <c r="G10" s="68"/>
      <c r="H10" s="13"/>
      <c r="I10" s="68"/>
      <c r="J10" s="68"/>
    </row>
    <row r="11" spans="1:10" ht="12.75">
      <c r="A11" s="2" t="s">
        <v>27</v>
      </c>
      <c r="B11" s="11">
        <v>0</v>
      </c>
      <c r="C11" s="12">
        <v>0</v>
      </c>
      <c r="D11" s="12">
        <f>SUM(B11:C11)</f>
        <v>0</v>
      </c>
      <c r="E11" s="11">
        <v>192</v>
      </c>
      <c r="F11" s="12">
        <f>561+1</f>
        <v>562</v>
      </c>
      <c r="G11" s="12">
        <f aca="true" t="shared" si="0" ref="G11:G19">SUM(E11:F11)</f>
        <v>754</v>
      </c>
      <c r="H11" s="11">
        <f>SUM(B11,E11)</f>
        <v>192</v>
      </c>
      <c r="I11" s="12">
        <f aca="true" t="shared" si="1" ref="I11:I19">SUM(C11,F11)</f>
        <v>562</v>
      </c>
      <c r="J11" s="12">
        <f aca="true" t="shared" si="2" ref="J11:J19">SUM(H11:I11)</f>
        <v>754</v>
      </c>
    </row>
    <row r="12" spans="1:10" ht="12.75">
      <c r="A12" s="2" t="s">
        <v>28</v>
      </c>
      <c r="B12" s="11">
        <v>51</v>
      </c>
      <c r="C12" s="12">
        <v>219</v>
      </c>
      <c r="D12" s="12">
        <f aca="true" t="shared" si="3" ref="D12:D19">SUM(B12:C12)</f>
        <v>270</v>
      </c>
      <c r="E12" s="11">
        <v>463</v>
      </c>
      <c r="F12" s="12">
        <v>1863</v>
      </c>
      <c r="G12" s="12">
        <f t="shared" si="0"/>
        <v>2326</v>
      </c>
      <c r="H12" s="11">
        <f aca="true" t="shared" si="4" ref="H12:H19">SUM(B12,E12)</f>
        <v>514</v>
      </c>
      <c r="I12" s="12">
        <f t="shared" si="1"/>
        <v>2082</v>
      </c>
      <c r="J12" s="12">
        <f t="shared" si="2"/>
        <v>2596</v>
      </c>
    </row>
    <row r="13" spans="1:10" ht="12.75">
      <c r="A13" s="2" t="s">
        <v>29</v>
      </c>
      <c r="B13" s="11">
        <v>307</v>
      </c>
      <c r="C13" s="12">
        <f>1200+1</f>
        <v>1201</v>
      </c>
      <c r="D13" s="12">
        <f t="shared" si="3"/>
        <v>1508</v>
      </c>
      <c r="E13" s="11">
        <v>289</v>
      </c>
      <c r="F13" s="12">
        <v>1358</v>
      </c>
      <c r="G13" s="12">
        <f t="shared" si="0"/>
        <v>1647</v>
      </c>
      <c r="H13" s="11">
        <f t="shared" si="4"/>
        <v>596</v>
      </c>
      <c r="I13" s="12">
        <f t="shared" si="1"/>
        <v>2559</v>
      </c>
      <c r="J13" s="12">
        <f t="shared" si="2"/>
        <v>3155</v>
      </c>
    </row>
    <row r="14" spans="1:10" ht="12.75">
      <c r="A14" s="2" t="s">
        <v>30</v>
      </c>
      <c r="B14" s="13">
        <f>575+3-1</f>
        <v>577</v>
      </c>
      <c r="C14" s="12">
        <f>2337+4</f>
        <v>2341</v>
      </c>
      <c r="D14" s="12">
        <f t="shared" si="3"/>
        <v>2918</v>
      </c>
      <c r="E14" s="11">
        <f>249+3</f>
        <v>252</v>
      </c>
      <c r="F14" s="12">
        <f>1079+6-1</f>
        <v>1084</v>
      </c>
      <c r="G14" s="12">
        <f t="shared" si="0"/>
        <v>1336</v>
      </c>
      <c r="H14" s="11">
        <f t="shared" si="4"/>
        <v>829</v>
      </c>
      <c r="I14" s="12">
        <f t="shared" si="1"/>
        <v>3425</v>
      </c>
      <c r="J14" s="12">
        <f t="shared" si="2"/>
        <v>4254</v>
      </c>
    </row>
    <row r="15" spans="1:10" ht="12.75">
      <c r="A15" s="2" t="s">
        <v>31</v>
      </c>
      <c r="B15" s="13">
        <f>530+5</f>
        <v>535</v>
      </c>
      <c r="C15" s="12">
        <f>2249+18</f>
        <v>2267</v>
      </c>
      <c r="D15" s="12">
        <f t="shared" si="3"/>
        <v>2802</v>
      </c>
      <c r="E15" s="11">
        <f>153+5</f>
        <v>158</v>
      </c>
      <c r="F15" s="12">
        <f>813+3</f>
        <v>816</v>
      </c>
      <c r="G15" s="12">
        <f t="shared" si="0"/>
        <v>974</v>
      </c>
      <c r="H15" s="11">
        <f t="shared" si="4"/>
        <v>693</v>
      </c>
      <c r="I15" s="12">
        <f t="shared" si="1"/>
        <v>3083</v>
      </c>
      <c r="J15" s="12">
        <f t="shared" si="2"/>
        <v>3776</v>
      </c>
    </row>
    <row r="16" spans="1:10" ht="12.75">
      <c r="A16" s="2" t="s">
        <v>32</v>
      </c>
      <c r="B16" s="13">
        <f>412+28-2</f>
        <v>438</v>
      </c>
      <c r="C16" s="12">
        <f>2336+32</f>
        <v>2368</v>
      </c>
      <c r="D16" s="12">
        <f t="shared" si="3"/>
        <v>2806</v>
      </c>
      <c r="E16" s="11">
        <f>103+3</f>
        <v>106</v>
      </c>
      <c r="F16" s="12">
        <f>594+5</f>
        <v>599</v>
      </c>
      <c r="G16" s="12">
        <f t="shared" si="0"/>
        <v>705</v>
      </c>
      <c r="H16" s="11">
        <f t="shared" si="4"/>
        <v>544</v>
      </c>
      <c r="I16" s="12">
        <f t="shared" si="1"/>
        <v>2967</v>
      </c>
      <c r="J16" s="12">
        <f t="shared" si="2"/>
        <v>3511</v>
      </c>
    </row>
    <row r="17" spans="1:10" ht="12.75">
      <c r="A17" s="2" t="s">
        <v>33</v>
      </c>
      <c r="B17" s="13">
        <f>400+40-1</f>
        <v>439</v>
      </c>
      <c r="C17" s="12">
        <f>2808+46-1</f>
        <v>2853</v>
      </c>
      <c r="D17" s="12">
        <f t="shared" si="3"/>
        <v>3292</v>
      </c>
      <c r="E17" s="11">
        <f>63+1</f>
        <v>64</v>
      </c>
      <c r="F17" s="12">
        <f>442+2</f>
        <v>444</v>
      </c>
      <c r="G17" s="12">
        <f t="shared" si="0"/>
        <v>508</v>
      </c>
      <c r="H17" s="11">
        <f t="shared" si="4"/>
        <v>503</v>
      </c>
      <c r="I17" s="12">
        <f t="shared" si="1"/>
        <v>3297</v>
      </c>
      <c r="J17" s="12">
        <f t="shared" si="2"/>
        <v>3800</v>
      </c>
    </row>
    <row r="18" spans="1:10" ht="12.75">
      <c r="A18" s="2" t="s">
        <v>34</v>
      </c>
      <c r="B18" s="13">
        <f>575+76-1</f>
        <v>650</v>
      </c>
      <c r="C18" s="12">
        <f>3159+72-6</f>
        <v>3225</v>
      </c>
      <c r="D18" s="12">
        <f t="shared" si="3"/>
        <v>3875</v>
      </c>
      <c r="E18" s="11">
        <f>44+2</f>
        <v>46</v>
      </c>
      <c r="F18" s="12">
        <f>254+8</f>
        <v>262</v>
      </c>
      <c r="G18" s="12">
        <f t="shared" si="0"/>
        <v>308</v>
      </c>
      <c r="H18" s="11">
        <f t="shared" si="4"/>
        <v>696</v>
      </c>
      <c r="I18" s="12">
        <f t="shared" si="1"/>
        <v>3487</v>
      </c>
      <c r="J18" s="12">
        <f t="shared" si="2"/>
        <v>4183</v>
      </c>
    </row>
    <row r="19" spans="1:10" ht="12.75">
      <c r="A19" s="2" t="s">
        <v>35</v>
      </c>
      <c r="B19" s="13">
        <f>413+82-16</f>
        <v>479</v>
      </c>
      <c r="C19" s="12">
        <f>1399+61-25</f>
        <v>1435</v>
      </c>
      <c r="D19" s="69">
        <f t="shared" si="3"/>
        <v>1914</v>
      </c>
      <c r="E19" s="11">
        <f>39+2</f>
        <v>41</v>
      </c>
      <c r="F19" s="12">
        <v>65</v>
      </c>
      <c r="G19" s="69">
        <f t="shared" si="0"/>
        <v>106</v>
      </c>
      <c r="H19" s="11">
        <f t="shared" si="4"/>
        <v>520</v>
      </c>
      <c r="I19" s="12">
        <f t="shared" si="1"/>
        <v>1500</v>
      </c>
      <c r="J19" s="69">
        <f t="shared" si="2"/>
        <v>2020</v>
      </c>
    </row>
    <row r="20" spans="1:12" ht="12.75">
      <c r="A20" s="19" t="s">
        <v>4</v>
      </c>
      <c r="B20" s="70">
        <f aca="true" t="shared" si="5" ref="B20:J20">SUM(B11:B19)</f>
        <v>3476</v>
      </c>
      <c r="C20" s="71">
        <f t="shared" si="5"/>
        <v>15909</v>
      </c>
      <c r="D20" s="71">
        <f t="shared" si="5"/>
        <v>19385</v>
      </c>
      <c r="E20" s="70">
        <f t="shared" si="5"/>
        <v>1611</v>
      </c>
      <c r="F20" s="71">
        <f t="shared" si="5"/>
        <v>7053</v>
      </c>
      <c r="G20" s="71">
        <f t="shared" si="5"/>
        <v>8664</v>
      </c>
      <c r="H20" s="70">
        <f t="shared" si="5"/>
        <v>5087</v>
      </c>
      <c r="I20" s="71">
        <f t="shared" si="5"/>
        <v>22962</v>
      </c>
      <c r="J20" s="71">
        <f t="shared" si="5"/>
        <v>28049</v>
      </c>
      <c r="L20" s="192"/>
    </row>
    <row r="22" ht="12.75">
      <c r="A22" s="4" t="s">
        <v>40</v>
      </c>
    </row>
    <row r="24" spans="1:10" ht="12.75">
      <c r="A24" s="1"/>
      <c r="B24" s="2"/>
      <c r="C24" s="2"/>
      <c r="D24" s="2"/>
      <c r="E24" s="2"/>
      <c r="F24" s="2"/>
      <c r="G24" s="2"/>
      <c r="H24" s="2"/>
      <c r="I24" s="2"/>
      <c r="J24" s="2"/>
    </row>
    <row r="25" spans="1:10" ht="12.75">
      <c r="A25" s="5" t="s">
        <v>89</v>
      </c>
      <c r="B25" s="6"/>
      <c r="C25" s="6"/>
      <c r="D25" s="6"/>
      <c r="E25" s="7"/>
      <c r="F25" s="7"/>
      <c r="G25" s="6"/>
      <c r="H25" s="6"/>
      <c r="I25" s="6"/>
      <c r="J25" s="6"/>
    </row>
    <row r="26" spans="1:10" ht="12.75">
      <c r="A26" s="6"/>
      <c r="B26" s="6"/>
      <c r="C26" s="6"/>
      <c r="D26" s="6"/>
      <c r="E26" s="7"/>
      <c r="F26" s="5"/>
      <c r="G26" s="6"/>
      <c r="H26" s="6"/>
      <c r="I26" s="6"/>
      <c r="J26" s="6"/>
    </row>
    <row r="27" spans="1:10" ht="12.75">
      <c r="A27" s="5" t="s">
        <v>105</v>
      </c>
      <c r="B27" s="6"/>
      <c r="C27" s="6"/>
      <c r="D27" s="6"/>
      <c r="E27" s="7"/>
      <c r="F27" s="7"/>
      <c r="G27" s="6"/>
      <c r="H27" s="6"/>
      <c r="I27" s="6"/>
      <c r="J27" s="6"/>
    </row>
    <row r="28" spans="1:10" ht="12.75">
      <c r="A28" s="4"/>
      <c r="B28" s="4"/>
      <c r="C28" s="4"/>
      <c r="D28" s="4"/>
      <c r="E28" s="4"/>
      <c r="F28" s="4"/>
      <c r="G28" s="4"/>
      <c r="H28" s="4"/>
      <c r="I28" s="4"/>
      <c r="J28" s="4"/>
    </row>
    <row r="29" spans="1:10" ht="12.75">
      <c r="A29" s="5" t="s">
        <v>84</v>
      </c>
      <c r="B29" s="59"/>
      <c r="C29" s="59"/>
      <c r="D29" s="59"/>
      <c r="E29" s="59"/>
      <c r="F29" s="60"/>
      <c r="G29" s="59"/>
      <c r="H29" s="59"/>
      <c r="I29" s="59"/>
      <c r="J29" s="59"/>
    </row>
    <row r="30" spans="1:10" ht="13.5" thickBot="1">
      <c r="A30" s="2"/>
      <c r="B30" s="12"/>
      <c r="C30" s="12"/>
      <c r="D30" s="12"/>
      <c r="E30" s="12"/>
      <c r="F30" s="12"/>
      <c r="G30" s="12"/>
      <c r="H30" s="12"/>
      <c r="I30" s="12"/>
      <c r="J30" s="12"/>
    </row>
    <row r="31" spans="1:10" ht="12.75">
      <c r="A31" s="61"/>
      <c r="B31" s="62" t="s">
        <v>24</v>
      </c>
      <c r="C31" s="63"/>
      <c r="D31" s="63"/>
      <c r="E31" s="62" t="s">
        <v>25</v>
      </c>
      <c r="F31" s="63"/>
      <c r="G31" s="63"/>
      <c r="H31" s="62" t="s">
        <v>4</v>
      </c>
      <c r="I31" s="63"/>
      <c r="J31" s="63"/>
    </row>
    <row r="32" spans="1:10" ht="12.75">
      <c r="A32" s="195" t="s">
        <v>26</v>
      </c>
      <c r="B32" s="157" t="s">
        <v>5</v>
      </c>
      <c r="C32" s="158" t="s">
        <v>6</v>
      </c>
      <c r="D32" s="158" t="s">
        <v>4</v>
      </c>
      <c r="E32" s="157" t="s">
        <v>5</v>
      </c>
      <c r="F32" s="158" t="s">
        <v>6</v>
      </c>
      <c r="G32" s="158" t="s">
        <v>4</v>
      </c>
      <c r="H32" s="157" t="s">
        <v>5</v>
      </c>
      <c r="I32" s="158" t="s">
        <v>6</v>
      </c>
      <c r="J32" s="158" t="s">
        <v>4</v>
      </c>
    </row>
    <row r="33" spans="1:10" ht="12.75">
      <c r="A33" s="67"/>
      <c r="B33" s="13"/>
      <c r="C33" s="68"/>
      <c r="D33" s="68"/>
      <c r="E33" s="13"/>
      <c r="F33" s="68"/>
      <c r="G33" s="68"/>
      <c r="H33" s="13"/>
      <c r="I33" s="68"/>
      <c r="J33" s="68"/>
    </row>
    <row r="34" spans="1:10" ht="12.75">
      <c r="A34" s="22" t="s">
        <v>90</v>
      </c>
      <c r="B34" s="11">
        <f>155+32-2</f>
        <v>185</v>
      </c>
      <c r="C34" s="12">
        <f>576+12-1</f>
        <v>587</v>
      </c>
      <c r="D34" s="12">
        <f>SUM(B34:C34)</f>
        <v>772</v>
      </c>
      <c r="E34" s="11">
        <f>11+1</f>
        <v>12</v>
      </c>
      <c r="F34" s="12">
        <v>18</v>
      </c>
      <c r="G34" s="12">
        <f aca="true" t="shared" si="6" ref="G34:G41">SUM(E34:F34)</f>
        <v>30</v>
      </c>
      <c r="H34" s="11">
        <f>SUM(B34,E34)</f>
        <v>197</v>
      </c>
      <c r="I34" s="25">
        <f aca="true" t="shared" si="7" ref="I34:I42">SUM(C34,F34)</f>
        <v>605</v>
      </c>
      <c r="J34" s="12">
        <f aca="true" t="shared" si="8" ref="J34:J42">SUM(H34:I34)</f>
        <v>802</v>
      </c>
    </row>
    <row r="35" spans="1:10" ht="12.75">
      <c r="A35" s="22" t="s">
        <v>91</v>
      </c>
      <c r="B35" s="11">
        <f>109+11-1</f>
        <v>119</v>
      </c>
      <c r="C35" s="12">
        <f>340+9</f>
        <v>349</v>
      </c>
      <c r="D35" s="12">
        <f aca="true" t="shared" si="9" ref="D35:D43">SUM(B35:C35)</f>
        <v>468</v>
      </c>
      <c r="E35" s="11">
        <v>8</v>
      </c>
      <c r="F35" s="12">
        <v>16</v>
      </c>
      <c r="G35" s="12">
        <f t="shared" si="6"/>
        <v>24</v>
      </c>
      <c r="H35" s="11">
        <f aca="true" t="shared" si="10" ref="H35:H42">SUM(B35,E35)</f>
        <v>127</v>
      </c>
      <c r="I35" s="25">
        <f t="shared" si="7"/>
        <v>365</v>
      </c>
      <c r="J35" s="12">
        <f t="shared" si="8"/>
        <v>492</v>
      </c>
    </row>
    <row r="36" spans="1:10" ht="12.75">
      <c r="A36" s="22" t="s">
        <v>92</v>
      </c>
      <c r="B36" s="11">
        <f>55+14-3</f>
        <v>66</v>
      </c>
      <c r="C36" s="12">
        <f>206+7</f>
        <v>213</v>
      </c>
      <c r="D36" s="12">
        <f t="shared" si="9"/>
        <v>279</v>
      </c>
      <c r="E36" s="11">
        <v>5</v>
      </c>
      <c r="F36" s="12">
        <v>8</v>
      </c>
      <c r="G36" s="12">
        <f t="shared" si="6"/>
        <v>13</v>
      </c>
      <c r="H36" s="11">
        <f t="shared" si="10"/>
        <v>71</v>
      </c>
      <c r="I36" s="25">
        <f t="shared" si="7"/>
        <v>221</v>
      </c>
      <c r="J36" s="12">
        <f t="shared" si="8"/>
        <v>292</v>
      </c>
    </row>
    <row r="37" spans="1:10" ht="12.75">
      <c r="A37" s="22" t="s">
        <v>93</v>
      </c>
      <c r="B37" s="13">
        <f>47+9-1</f>
        <v>55</v>
      </c>
      <c r="C37" s="12">
        <f>96+5-1</f>
        <v>100</v>
      </c>
      <c r="D37" s="12">
        <f t="shared" si="9"/>
        <v>155</v>
      </c>
      <c r="E37" s="11">
        <v>2</v>
      </c>
      <c r="F37" s="12">
        <v>10</v>
      </c>
      <c r="G37" s="12">
        <f t="shared" si="6"/>
        <v>12</v>
      </c>
      <c r="H37" s="11">
        <f t="shared" si="10"/>
        <v>57</v>
      </c>
      <c r="I37" s="25">
        <f t="shared" si="7"/>
        <v>110</v>
      </c>
      <c r="J37" s="12">
        <f t="shared" si="8"/>
        <v>167</v>
      </c>
    </row>
    <row r="38" spans="1:10" ht="12.75">
      <c r="A38" s="22" t="s">
        <v>94</v>
      </c>
      <c r="B38" s="13">
        <f>18+4</f>
        <v>22</v>
      </c>
      <c r="C38" s="12">
        <f>72+2</f>
        <v>74</v>
      </c>
      <c r="D38" s="12">
        <f t="shared" si="9"/>
        <v>96</v>
      </c>
      <c r="E38" s="11">
        <v>2</v>
      </c>
      <c r="F38" s="12"/>
      <c r="G38" s="12">
        <f t="shared" si="6"/>
        <v>2</v>
      </c>
      <c r="H38" s="11">
        <f t="shared" si="10"/>
        <v>24</v>
      </c>
      <c r="I38" s="25">
        <f t="shared" si="7"/>
        <v>74</v>
      </c>
      <c r="J38" s="12">
        <f t="shared" si="8"/>
        <v>98</v>
      </c>
    </row>
    <row r="39" spans="1:10" ht="12.75">
      <c r="A39" s="22" t="s">
        <v>95</v>
      </c>
      <c r="B39" s="13">
        <f>16+2</f>
        <v>18</v>
      </c>
      <c r="C39" s="12">
        <f>57+1</f>
        <v>58</v>
      </c>
      <c r="D39" s="12">
        <f t="shared" si="9"/>
        <v>76</v>
      </c>
      <c r="E39" s="11">
        <v>1</v>
      </c>
      <c r="F39" s="12">
        <v>6</v>
      </c>
      <c r="G39" s="12">
        <f t="shared" si="6"/>
        <v>7</v>
      </c>
      <c r="H39" s="11">
        <f t="shared" si="10"/>
        <v>19</v>
      </c>
      <c r="I39" s="25">
        <f t="shared" si="7"/>
        <v>64</v>
      </c>
      <c r="J39" s="12">
        <f t="shared" si="8"/>
        <v>83</v>
      </c>
    </row>
    <row r="40" spans="1:10" ht="12.75">
      <c r="A40" s="22" t="s">
        <v>97</v>
      </c>
      <c r="B40" s="13">
        <v>2</v>
      </c>
      <c r="C40" s="12">
        <v>6</v>
      </c>
      <c r="D40" s="12">
        <f t="shared" si="9"/>
        <v>8</v>
      </c>
      <c r="E40" s="11">
        <v>4</v>
      </c>
      <c r="F40" s="12">
        <v>1</v>
      </c>
      <c r="G40" s="12">
        <f t="shared" si="6"/>
        <v>5</v>
      </c>
      <c r="H40" s="11">
        <f t="shared" si="10"/>
        <v>6</v>
      </c>
      <c r="I40" s="25">
        <f t="shared" si="7"/>
        <v>7</v>
      </c>
      <c r="J40" s="12">
        <f t="shared" si="8"/>
        <v>13</v>
      </c>
    </row>
    <row r="41" spans="1:10" ht="12.75">
      <c r="A41" s="22" t="s">
        <v>98</v>
      </c>
      <c r="B41" s="13">
        <f>0+1</f>
        <v>1</v>
      </c>
      <c r="C41" s="12">
        <v>2</v>
      </c>
      <c r="D41" s="12">
        <f t="shared" si="9"/>
        <v>3</v>
      </c>
      <c r="E41" s="11">
        <v>0</v>
      </c>
      <c r="F41" s="12">
        <v>3</v>
      </c>
      <c r="G41" s="12">
        <f t="shared" si="6"/>
        <v>3</v>
      </c>
      <c r="H41" s="11">
        <f t="shared" si="10"/>
        <v>1</v>
      </c>
      <c r="I41" s="25">
        <f t="shared" si="7"/>
        <v>5</v>
      </c>
      <c r="J41" s="12">
        <f t="shared" si="8"/>
        <v>6</v>
      </c>
    </row>
    <row r="42" spans="1:10" ht="12.75">
      <c r="A42" s="2" t="s">
        <v>99</v>
      </c>
      <c r="B42" s="13">
        <v>0</v>
      </c>
      <c r="C42" s="12">
        <v>0</v>
      </c>
      <c r="D42" s="25">
        <f t="shared" si="9"/>
        <v>0</v>
      </c>
      <c r="E42" s="11">
        <f>5+1+1</f>
        <v>7</v>
      </c>
      <c r="F42" s="12">
        <f>1+2</f>
        <v>3</v>
      </c>
      <c r="G42" s="25">
        <f>SUM(E42:F42)</f>
        <v>10</v>
      </c>
      <c r="H42" s="11">
        <f t="shared" si="10"/>
        <v>7</v>
      </c>
      <c r="I42" s="25">
        <f t="shared" si="7"/>
        <v>3</v>
      </c>
      <c r="J42" s="25">
        <f t="shared" si="8"/>
        <v>10</v>
      </c>
    </row>
    <row r="43" spans="1:10" ht="12.75">
      <c r="A43" s="2" t="s">
        <v>96</v>
      </c>
      <c r="B43" s="13">
        <f>7+4+9-9</f>
        <v>11</v>
      </c>
      <c r="C43" s="12">
        <f>26+7+1+5+5+25-23</f>
        <v>46</v>
      </c>
      <c r="D43" s="25">
        <f t="shared" si="9"/>
        <v>57</v>
      </c>
      <c r="E43" s="11">
        <v>0</v>
      </c>
      <c r="F43" s="12">
        <v>0</v>
      </c>
      <c r="G43" s="25">
        <f>SUM(E43:F43)</f>
        <v>0</v>
      </c>
      <c r="H43" s="11">
        <f>SUM(B43,E43)</f>
        <v>11</v>
      </c>
      <c r="I43" s="25">
        <f>SUM(C43,F43)</f>
        <v>46</v>
      </c>
      <c r="J43" s="25">
        <f>SUM(H43:I43)</f>
        <v>57</v>
      </c>
    </row>
    <row r="44" spans="1:10" ht="12.75">
      <c r="A44" s="19" t="s">
        <v>4</v>
      </c>
      <c r="B44" s="70">
        <f aca="true" t="shared" si="11" ref="B44:J44">SUM(B34:B43)</f>
        <v>479</v>
      </c>
      <c r="C44" s="71">
        <f t="shared" si="11"/>
        <v>1435</v>
      </c>
      <c r="D44" s="71">
        <f t="shared" si="11"/>
        <v>1914</v>
      </c>
      <c r="E44" s="70">
        <f t="shared" si="11"/>
        <v>41</v>
      </c>
      <c r="F44" s="71">
        <f t="shared" si="11"/>
        <v>65</v>
      </c>
      <c r="G44" s="71">
        <f t="shared" si="11"/>
        <v>106</v>
      </c>
      <c r="H44" s="70">
        <f t="shared" si="11"/>
        <v>520</v>
      </c>
      <c r="I44" s="71">
        <f t="shared" si="11"/>
        <v>1500</v>
      </c>
      <c r="J44" s="71">
        <f t="shared" si="11"/>
        <v>2020</v>
      </c>
    </row>
  </sheetData>
  <sheetProtection/>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85"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tabColor theme="2"/>
  </sheetPr>
  <dimension ref="A1:V113"/>
  <sheetViews>
    <sheetView zoomScalePageLayoutView="0" workbookViewId="0" topLeftCell="A1">
      <selection activeCell="A88" sqref="A88"/>
    </sheetView>
  </sheetViews>
  <sheetFormatPr defaultColWidth="9.28125" defaultRowHeight="12.75"/>
  <cols>
    <col min="1" max="1" width="32.7109375" style="4" customWidth="1"/>
    <col min="2" max="19" width="8.140625" style="4" customWidth="1"/>
    <col min="20" max="16384" width="9.28125" style="4" customWidth="1"/>
  </cols>
  <sheetData>
    <row r="1" spans="1:19" ht="12.75">
      <c r="A1" s="129" t="s">
        <v>101</v>
      </c>
      <c r="B1" s="2"/>
      <c r="C1" s="2"/>
      <c r="D1" s="2"/>
      <c r="E1" s="3"/>
      <c r="F1" s="2"/>
      <c r="G1" s="2"/>
      <c r="H1" s="2"/>
      <c r="I1" s="2"/>
      <c r="J1" s="2"/>
      <c r="K1" s="2"/>
      <c r="L1" s="2"/>
      <c r="M1" s="2"/>
      <c r="N1" s="2"/>
      <c r="O1" s="2"/>
      <c r="P1" s="2"/>
      <c r="Q1" s="2"/>
      <c r="R1" s="2"/>
      <c r="S1" s="2"/>
    </row>
    <row r="2" spans="1:19" ht="12.75">
      <c r="A2" s="5" t="s">
        <v>75</v>
      </c>
      <c r="B2" s="6"/>
      <c r="C2" s="6"/>
      <c r="D2" s="5"/>
      <c r="E2" s="128"/>
      <c r="F2" s="6"/>
      <c r="G2" s="7"/>
      <c r="H2" s="6"/>
      <c r="I2" s="7"/>
      <c r="J2" s="6"/>
      <c r="K2" s="6"/>
      <c r="L2" s="6"/>
      <c r="M2" s="6"/>
      <c r="N2" s="6"/>
      <c r="O2" s="6"/>
      <c r="P2" s="6"/>
      <c r="Q2" s="6"/>
      <c r="R2" s="6"/>
      <c r="S2" s="6"/>
    </row>
    <row r="3" spans="1:19" ht="12.75">
      <c r="A3" s="5"/>
      <c r="B3" s="6"/>
      <c r="C3" s="6"/>
      <c r="D3" s="6"/>
      <c r="E3" s="128"/>
      <c r="F3" s="5"/>
      <c r="G3" s="7"/>
      <c r="H3" s="6"/>
      <c r="I3" s="7"/>
      <c r="J3" s="6"/>
      <c r="K3" s="6"/>
      <c r="L3" s="6"/>
      <c r="M3" s="6"/>
      <c r="N3" s="6"/>
      <c r="O3" s="6"/>
      <c r="P3" s="6"/>
      <c r="Q3" s="6"/>
      <c r="R3" s="6"/>
      <c r="S3" s="6"/>
    </row>
    <row r="4" spans="1:19" ht="12.75">
      <c r="A4" s="5" t="s">
        <v>104</v>
      </c>
      <c r="B4" s="6"/>
      <c r="C4" s="6"/>
      <c r="D4" s="6"/>
      <c r="E4" s="128"/>
      <c r="F4" s="5"/>
      <c r="G4" s="7"/>
      <c r="H4" s="6"/>
      <c r="I4" s="7"/>
      <c r="J4" s="6"/>
      <c r="K4" s="6"/>
      <c r="L4" s="6"/>
      <c r="M4" s="6"/>
      <c r="N4" s="6"/>
      <c r="O4" s="6"/>
      <c r="P4" s="6"/>
      <c r="Q4" s="6"/>
      <c r="R4" s="6"/>
      <c r="S4" s="6"/>
    </row>
    <row r="5" spans="1:19" ht="13.5" thickBot="1">
      <c r="A5" s="2"/>
      <c r="B5" s="2"/>
      <c r="C5" s="2"/>
      <c r="D5" s="2"/>
      <c r="E5" s="3"/>
      <c r="F5" s="2"/>
      <c r="G5" s="2"/>
      <c r="H5" s="2"/>
      <c r="I5" s="2"/>
      <c r="J5" s="2"/>
      <c r="K5" s="2"/>
      <c r="L5" s="2"/>
      <c r="M5" s="2"/>
      <c r="N5" s="2"/>
      <c r="O5" s="2"/>
      <c r="P5" s="2"/>
      <c r="Q5" s="2"/>
      <c r="R5" s="2"/>
      <c r="S5" s="2"/>
    </row>
    <row r="6" spans="1:19" ht="12.75">
      <c r="A6" s="8"/>
      <c r="B6" s="228" t="s">
        <v>70</v>
      </c>
      <c r="C6" s="153"/>
      <c r="D6" s="153"/>
      <c r="E6" s="153"/>
      <c r="F6" s="153"/>
      <c r="G6" s="153"/>
      <c r="H6" s="228" t="s">
        <v>69</v>
      </c>
      <c r="I6" s="153"/>
      <c r="J6" s="153"/>
      <c r="K6" s="153"/>
      <c r="L6" s="153"/>
      <c r="M6" s="153"/>
      <c r="N6" s="152" t="s">
        <v>4</v>
      </c>
      <c r="O6" s="153"/>
      <c r="P6" s="153"/>
      <c r="Q6" s="153"/>
      <c r="R6" s="153"/>
      <c r="S6" s="153"/>
    </row>
    <row r="7" spans="1:19" ht="12.75">
      <c r="A7" s="3"/>
      <c r="B7" s="154" t="s">
        <v>24</v>
      </c>
      <c r="C7" s="155"/>
      <c r="D7" s="155"/>
      <c r="E7" s="154" t="s">
        <v>25</v>
      </c>
      <c r="F7" s="155"/>
      <c r="G7" s="155"/>
      <c r="H7" s="154" t="s">
        <v>24</v>
      </c>
      <c r="I7" s="155"/>
      <c r="J7" s="155"/>
      <c r="K7" s="154" t="s">
        <v>25</v>
      </c>
      <c r="L7" s="155"/>
      <c r="M7" s="155"/>
      <c r="N7" s="154" t="s">
        <v>24</v>
      </c>
      <c r="O7" s="155"/>
      <c r="P7" s="155"/>
      <c r="Q7" s="154" t="s">
        <v>25</v>
      </c>
      <c r="R7" s="155"/>
      <c r="S7" s="155"/>
    </row>
    <row r="8" spans="1:19" s="156" customFormat="1" ht="12.75">
      <c r="A8" s="64"/>
      <c r="B8" s="181" t="s">
        <v>5</v>
      </c>
      <c r="C8" s="182" t="s">
        <v>6</v>
      </c>
      <c r="D8" s="182" t="s">
        <v>4</v>
      </c>
      <c r="E8" s="181" t="s">
        <v>5</v>
      </c>
      <c r="F8" s="182" t="s">
        <v>6</v>
      </c>
      <c r="G8" s="182" t="s">
        <v>4</v>
      </c>
      <c r="H8" s="181" t="s">
        <v>5</v>
      </c>
      <c r="I8" s="182" t="s">
        <v>6</v>
      </c>
      <c r="J8" s="182" t="s">
        <v>4</v>
      </c>
      <c r="K8" s="181" t="s">
        <v>5</v>
      </c>
      <c r="L8" s="182" t="s">
        <v>6</v>
      </c>
      <c r="M8" s="182" t="s">
        <v>4</v>
      </c>
      <c r="N8" s="181" t="s">
        <v>5</v>
      </c>
      <c r="O8" s="182" t="s">
        <v>6</v>
      </c>
      <c r="P8" s="182" t="s">
        <v>4</v>
      </c>
      <c r="Q8" s="181" t="s">
        <v>5</v>
      </c>
      <c r="R8" s="182" t="s">
        <v>6</v>
      </c>
      <c r="S8" s="182" t="s">
        <v>4</v>
      </c>
    </row>
    <row r="9" spans="1:19" ht="12.75">
      <c r="A9" s="2"/>
      <c r="B9" s="11"/>
      <c r="C9" s="12"/>
      <c r="D9" s="12"/>
      <c r="E9" s="11"/>
      <c r="F9" s="12"/>
      <c r="G9" s="12"/>
      <c r="H9" s="11"/>
      <c r="I9" s="12"/>
      <c r="J9" s="12"/>
      <c r="K9" s="11"/>
      <c r="L9" s="12"/>
      <c r="M9" s="12"/>
      <c r="N9" s="11"/>
      <c r="O9" s="12"/>
      <c r="P9" s="12"/>
      <c r="Q9" s="11"/>
      <c r="R9" s="12"/>
      <c r="S9" s="12"/>
    </row>
    <row r="10" spans="1:19" ht="12.75">
      <c r="A10" s="1" t="s">
        <v>7</v>
      </c>
      <c r="B10" s="11"/>
      <c r="C10" s="12"/>
      <c r="D10" s="12"/>
      <c r="E10" s="11"/>
      <c r="F10" s="12"/>
      <c r="G10" s="12"/>
      <c r="H10" s="11"/>
      <c r="I10" s="12"/>
      <c r="J10" s="12"/>
      <c r="K10" s="11"/>
      <c r="L10" s="12"/>
      <c r="M10" s="12"/>
      <c r="N10" s="11"/>
      <c r="O10" s="12"/>
      <c r="P10" s="12"/>
      <c r="Q10" s="11"/>
      <c r="R10" s="12"/>
      <c r="S10" s="12"/>
    </row>
    <row r="11" spans="1:22" ht="12.75">
      <c r="A11" s="2" t="s">
        <v>42</v>
      </c>
      <c r="B11" s="11">
        <v>50</v>
      </c>
      <c r="C11" s="12">
        <v>255</v>
      </c>
      <c r="D11" s="12">
        <f>SUM(B11:C11)</f>
        <v>305</v>
      </c>
      <c r="E11" s="11">
        <v>35</v>
      </c>
      <c r="F11" s="12">
        <v>110</v>
      </c>
      <c r="G11" s="12">
        <f>SUM(E11:F11)</f>
        <v>145</v>
      </c>
      <c r="H11" s="11">
        <v>24</v>
      </c>
      <c r="I11" s="12">
        <v>366</v>
      </c>
      <c r="J11" s="12">
        <f>SUM(H11:I11)</f>
        <v>390</v>
      </c>
      <c r="K11" s="11">
        <v>35</v>
      </c>
      <c r="L11" s="12">
        <v>282</v>
      </c>
      <c r="M11" s="12">
        <f>SUM(K11:L11)</f>
        <v>317</v>
      </c>
      <c r="N11" s="11">
        <f>SUM(B11,H11)</f>
        <v>74</v>
      </c>
      <c r="O11" s="12">
        <f>SUM(C11,I11)</f>
        <v>621</v>
      </c>
      <c r="P11" s="12">
        <f>SUM(N11:O11)</f>
        <v>695</v>
      </c>
      <c r="Q11" s="11">
        <f aca="true" t="shared" si="0" ref="Q11:R14">SUM(E11,K11)</f>
        <v>70</v>
      </c>
      <c r="R11" s="12">
        <f t="shared" si="0"/>
        <v>392</v>
      </c>
      <c r="S11" s="12">
        <f>SUM(Q11:R11)</f>
        <v>462</v>
      </c>
      <c r="U11"/>
      <c r="V11"/>
    </row>
    <row r="12" spans="1:22" ht="12.75">
      <c r="A12" s="2" t="s">
        <v>8</v>
      </c>
      <c r="B12" s="11">
        <v>124</v>
      </c>
      <c r="C12" s="12">
        <v>704</v>
      </c>
      <c r="D12" s="12">
        <f>SUM(B12:C12)</f>
        <v>828</v>
      </c>
      <c r="E12" s="11">
        <v>65</v>
      </c>
      <c r="F12" s="12">
        <v>183</v>
      </c>
      <c r="G12" s="12">
        <f>SUM(E12:F12)</f>
        <v>248</v>
      </c>
      <c r="H12" s="11">
        <v>88</v>
      </c>
      <c r="I12" s="12">
        <v>1830</v>
      </c>
      <c r="J12" s="12">
        <f>SUM(H12:I12)</f>
        <v>1918</v>
      </c>
      <c r="K12" s="11">
        <v>86</v>
      </c>
      <c r="L12" s="12">
        <v>859</v>
      </c>
      <c r="M12" s="12">
        <f>SUM(K12:L12)</f>
        <v>945</v>
      </c>
      <c r="N12" s="11">
        <f aca="true" t="shared" si="1" ref="N12:O14">SUM(B12,H12)</f>
        <v>212</v>
      </c>
      <c r="O12" s="12">
        <f t="shared" si="1"/>
        <v>2534</v>
      </c>
      <c r="P12" s="12">
        <f>SUM(N12:O12)</f>
        <v>2746</v>
      </c>
      <c r="Q12" s="11">
        <f t="shared" si="0"/>
        <v>151</v>
      </c>
      <c r="R12" s="12">
        <f t="shared" si="0"/>
        <v>1042</v>
      </c>
      <c r="S12" s="12">
        <f>SUM(Q12:R12)</f>
        <v>1193</v>
      </c>
      <c r="U12"/>
      <c r="V12"/>
    </row>
    <row r="13" spans="1:22" ht="12.75">
      <c r="A13" s="2" t="s">
        <v>9</v>
      </c>
      <c r="B13" s="11">
        <v>0</v>
      </c>
      <c r="C13" s="12">
        <v>1</v>
      </c>
      <c r="D13" s="12">
        <f>SUM(B13:C13)</f>
        <v>1</v>
      </c>
      <c r="E13" s="11">
        <v>0</v>
      </c>
      <c r="F13" s="12">
        <v>0</v>
      </c>
      <c r="G13" s="12">
        <f>SUM(E13:F13)</f>
        <v>0</v>
      </c>
      <c r="H13" s="11">
        <v>0</v>
      </c>
      <c r="I13" s="12">
        <v>2</v>
      </c>
      <c r="J13" s="12">
        <f>SUM(H13:I13)</f>
        <v>2</v>
      </c>
      <c r="K13" s="13">
        <v>0</v>
      </c>
      <c r="L13" s="12">
        <v>1</v>
      </c>
      <c r="M13" s="12">
        <f>SUM(K13:L13)</f>
        <v>1</v>
      </c>
      <c r="N13" s="11">
        <f t="shared" si="1"/>
        <v>0</v>
      </c>
      <c r="O13" s="12">
        <f t="shared" si="1"/>
        <v>3</v>
      </c>
      <c r="P13" s="12">
        <f>SUM(N13:O13)</f>
        <v>3</v>
      </c>
      <c r="Q13" s="11">
        <f t="shared" si="0"/>
        <v>0</v>
      </c>
      <c r="R13" s="12">
        <f t="shared" si="0"/>
        <v>1</v>
      </c>
      <c r="S13" s="12">
        <f>SUM(Q13:R13)</f>
        <v>1</v>
      </c>
      <c r="U13"/>
      <c r="V13"/>
    </row>
    <row r="14" spans="1:22" ht="12.75">
      <c r="A14" s="2" t="s">
        <v>10</v>
      </c>
      <c r="B14" s="11">
        <v>65</v>
      </c>
      <c r="C14" s="12">
        <v>301</v>
      </c>
      <c r="D14" s="12">
        <f>SUM(B14:C14)</f>
        <v>366</v>
      </c>
      <c r="E14" s="11">
        <v>17</v>
      </c>
      <c r="F14" s="12">
        <v>87</v>
      </c>
      <c r="G14" s="12">
        <f>SUM(E14:F14)</f>
        <v>104</v>
      </c>
      <c r="H14" s="11">
        <v>38</v>
      </c>
      <c r="I14" s="12">
        <v>667</v>
      </c>
      <c r="J14" s="12">
        <f>SUM(H14:I14)</f>
        <v>705</v>
      </c>
      <c r="K14" s="11">
        <v>50</v>
      </c>
      <c r="L14" s="12">
        <v>311</v>
      </c>
      <c r="M14" s="12">
        <f>SUM(K14:L14)</f>
        <v>361</v>
      </c>
      <c r="N14" s="11">
        <f t="shared" si="1"/>
        <v>103</v>
      </c>
      <c r="O14" s="12">
        <f t="shared" si="1"/>
        <v>968</v>
      </c>
      <c r="P14" s="12">
        <f>SUM(N14:O14)</f>
        <v>1071</v>
      </c>
      <c r="Q14" s="11">
        <f t="shared" si="0"/>
        <v>67</v>
      </c>
      <c r="R14" s="12">
        <f t="shared" si="0"/>
        <v>398</v>
      </c>
      <c r="S14" s="12">
        <f>SUM(Q14:R14)</f>
        <v>465</v>
      </c>
      <c r="U14"/>
      <c r="V14"/>
    </row>
    <row r="15" spans="1:22" ht="12.75">
      <c r="A15" s="19" t="s">
        <v>4</v>
      </c>
      <c r="B15" s="70">
        <f>SUM(B11:B14)</f>
        <v>239</v>
      </c>
      <c r="C15" s="71">
        <f aca="true" t="shared" si="2" ref="C15:S15">SUM(C11:C14)</f>
        <v>1261</v>
      </c>
      <c r="D15" s="71">
        <f t="shared" si="2"/>
        <v>1500</v>
      </c>
      <c r="E15" s="70">
        <f t="shared" si="2"/>
        <v>117</v>
      </c>
      <c r="F15" s="71">
        <f t="shared" si="2"/>
        <v>380</v>
      </c>
      <c r="G15" s="71">
        <f t="shared" si="2"/>
        <v>497</v>
      </c>
      <c r="H15" s="70">
        <f t="shared" si="2"/>
        <v>150</v>
      </c>
      <c r="I15" s="71">
        <f t="shared" si="2"/>
        <v>2865</v>
      </c>
      <c r="J15" s="71">
        <f t="shared" si="2"/>
        <v>3015</v>
      </c>
      <c r="K15" s="70">
        <f t="shared" si="2"/>
        <v>171</v>
      </c>
      <c r="L15" s="71">
        <f t="shared" si="2"/>
        <v>1453</v>
      </c>
      <c r="M15" s="71">
        <f t="shared" si="2"/>
        <v>1624</v>
      </c>
      <c r="N15" s="70">
        <f t="shared" si="2"/>
        <v>389</v>
      </c>
      <c r="O15" s="71">
        <f t="shared" si="2"/>
        <v>4126</v>
      </c>
      <c r="P15" s="71">
        <f t="shared" si="2"/>
        <v>4515</v>
      </c>
      <c r="Q15" s="70">
        <f t="shared" si="2"/>
        <v>288</v>
      </c>
      <c r="R15" s="71">
        <f t="shared" si="2"/>
        <v>1833</v>
      </c>
      <c r="S15" s="71">
        <f t="shared" si="2"/>
        <v>2121</v>
      </c>
      <c r="U15"/>
      <c r="V15"/>
    </row>
    <row r="16" spans="1:22" ht="12.75">
      <c r="A16" s="3"/>
      <c r="B16" s="11"/>
      <c r="C16" s="12"/>
      <c r="D16" s="12"/>
      <c r="E16" s="11"/>
      <c r="F16" s="12"/>
      <c r="G16" s="12"/>
      <c r="H16" s="11"/>
      <c r="I16" s="12"/>
      <c r="J16" s="12"/>
      <c r="K16" s="11"/>
      <c r="L16" s="12"/>
      <c r="M16" s="12"/>
      <c r="N16" s="11"/>
      <c r="O16" s="12"/>
      <c r="P16" s="12"/>
      <c r="Q16" s="11"/>
      <c r="R16" s="12"/>
      <c r="S16" s="12"/>
      <c r="U16"/>
      <c r="V16"/>
    </row>
    <row r="17" spans="1:22" ht="12.75">
      <c r="A17" s="1" t="s">
        <v>11</v>
      </c>
      <c r="B17" s="11"/>
      <c r="C17" s="12"/>
      <c r="D17" s="12"/>
      <c r="E17" s="11"/>
      <c r="F17" s="12"/>
      <c r="G17" s="12"/>
      <c r="H17" s="11"/>
      <c r="I17" s="12"/>
      <c r="J17" s="12"/>
      <c r="K17" s="11"/>
      <c r="L17" s="12"/>
      <c r="M17" s="12"/>
      <c r="N17" s="11"/>
      <c r="O17" s="12"/>
      <c r="P17" s="12"/>
      <c r="Q17" s="11"/>
      <c r="R17" s="12"/>
      <c r="S17" s="12"/>
      <c r="U17"/>
      <c r="V17"/>
    </row>
    <row r="18" spans="1:22" ht="12.75">
      <c r="A18" s="2" t="s">
        <v>42</v>
      </c>
      <c r="B18" s="11">
        <v>34</v>
      </c>
      <c r="C18" s="12">
        <v>274</v>
      </c>
      <c r="D18" s="12">
        <f>SUM(B18:C18)</f>
        <v>308</v>
      </c>
      <c r="E18" s="11">
        <v>7</v>
      </c>
      <c r="F18" s="12">
        <v>96</v>
      </c>
      <c r="G18" s="12">
        <f>SUM(E18:F18)</f>
        <v>103</v>
      </c>
      <c r="H18" s="11">
        <v>17</v>
      </c>
      <c r="I18" s="12">
        <v>273</v>
      </c>
      <c r="J18" s="12">
        <f>SUM(H18:I18)</f>
        <v>290</v>
      </c>
      <c r="K18" s="11">
        <v>5</v>
      </c>
      <c r="L18" s="12">
        <v>123</v>
      </c>
      <c r="M18" s="12">
        <f>SUM(K18:L18)</f>
        <v>128</v>
      </c>
      <c r="N18" s="11">
        <f aca="true" t="shared" si="3" ref="N18:O21">SUM(B18,H18)</f>
        <v>51</v>
      </c>
      <c r="O18" s="12">
        <f t="shared" si="3"/>
        <v>547</v>
      </c>
      <c r="P18" s="12">
        <f>SUM(N18:O18)</f>
        <v>598</v>
      </c>
      <c r="Q18" s="11">
        <f aca="true" t="shared" si="4" ref="Q18:R21">SUM(E18,K18)</f>
        <v>12</v>
      </c>
      <c r="R18" s="12">
        <f t="shared" si="4"/>
        <v>219</v>
      </c>
      <c r="S18" s="12">
        <f>SUM(Q18:R18)</f>
        <v>231</v>
      </c>
      <c r="U18"/>
      <c r="V18"/>
    </row>
    <row r="19" spans="1:22" ht="12.75">
      <c r="A19" s="2" t="s">
        <v>8</v>
      </c>
      <c r="B19" s="11">
        <v>46</v>
      </c>
      <c r="C19" s="12">
        <v>471</v>
      </c>
      <c r="D19" s="12">
        <f>SUM(B19:C19)</f>
        <v>517</v>
      </c>
      <c r="E19" s="11">
        <v>15</v>
      </c>
      <c r="F19" s="12">
        <v>251</v>
      </c>
      <c r="G19" s="12">
        <f>SUM(E19:F19)</f>
        <v>266</v>
      </c>
      <c r="H19" s="11">
        <v>25</v>
      </c>
      <c r="I19" s="12">
        <v>633</v>
      </c>
      <c r="J19" s="12">
        <f>SUM(H19:I19)</f>
        <v>658</v>
      </c>
      <c r="K19" s="11">
        <v>18</v>
      </c>
      <c r="L19" s="12">
        <v>332</v>
      </c>
      <c r="M19" s="12">
        <f>SUM(K19:L19)</f>
        <v>350</v>
      </c>
      <c r="N19" s="11">
        <f t="shared" si="3"/>
        <v>71</v>
      </c>
      <c r="O19" s="12">
        <f t="shared" si="3"/>
        <v>1104</v>
      </c>
      <c r="P19" s="12">
        <f>SUM(N19:O19)</f>
        <v>1175</v>
      </c>
      <c r="Q19" s="11">
        <f t="shared" si="4"/>
        <v>33</v>
      </c>
      <c r="R19" s="12">
        <f t="shared" si="4"/>
        <v>583</v>
      </c>
      <c r="S19" s="12">
        <f>SUM(Q19:R19)</f>
        <v>616</v>
      </c>
      <c r="U19"/>
      <c r="V19"/>
    </row>
    <row r="20" spans="1:22" ht="12.75">
      <c r="A20" s="2" t="s">
        <v>9</v>
      </c>
      <c r="B20" s="11">
        <v>0</v>
      </c>
      <c r="C20" s="12">
        <v>10</v>
      </c>
      <c r="D20" s="12">
        <f>SUM(B20:C20)</f>
        <v>10</v>
      </c>
      <c r="E20" s="13">
        <v>1</v>
      </c>
      <c r="F20" s="18">
        <v>4</v>
      </c>
      <c r="G20" s="18">
        <f>SUM(E20:F20)</f>
        <v>5</v>
      </c>
      <c r="H20" s="13">
        <v>1</v>
      </c>
      <c r="I20" s="12">
        <v>15</v>
      </c>
      <c r="J20" s="12">
        <f>SUM(H20:I20)</f>
        <v>16</v>
      </c>
      <c r="K20" s="13">
        <v>1</v>
      </c>
      <c r="L20" s="18">
        <v>8</v>
      </c>
      <c r="M20" s="18">
        <f>SUM(K20:L20)</f>
        <v>9</v>
      </c>
      <c r="N20" s="11">
        <f t="shared" si="3"/>
        <v>1</v>
      </c>
      <c r="O20" s="12">
        <f t="shared" si="3"/>
        <v>25</v>
      </c>
      <c r="P20" s="12">
        <f>SUM(N20:O20)</f>
        <v>26</v>
      </c>
      <c r="Q20" s="13">
        <f t="shared" si="4"/>
        <v>2</v>
      </c>
      <c r="R20" s="12">
        <f t="shared" si="4"/>
        <v>12</v>
      </c>
      <c r="S20" s="12">
        <f>SUM(Q20:R20)</f>
        <v>14</v>
      </c>
      <c r="U20"/>
      <c r="V20"/>
    </row>
    <row r="21" spans="1:22" ht="12.75">
      <c r="A21" s="2" t="s">
        <v>10</v>
      </c>
      <c r="B21" s="11">
        <v>6</v>
      </c>
      <c r="C21" s="12">
        <v>121</v>
      </c>
      <c r="D21" s="12">
        <f>SUM(B21:C21)</f>
        <v>127</v>
      </c>
      <c r="E21" s="11">
        <v>2</v>
      </c>
      <c r="F21" s="12">
        <v>66</v>
      </c>
      <c r="G21" s="12">
        <f>SUM(E21:F21)</f>
        <v>68</v>
      </c>
      <c r="H21" s="11">
        <v>3</v>
      </c>
      <c r="I21" s="12">
        <v>119</v>
      </c>
      <c r="J21" s="12">
        <f>SUM(H21:I21)</f>
        <v>122</v>
      </c>
      <c r="K21" s="11">
        <v>1</v>
      </c>
      <c r="L21" s="12">
        <v>66</v>
      </c>
      <c r="M21" s="12">
        <f>SUM(K21:L21)</f>
        <v>67</v>
      </c>
      <c r="N21" s="11">
        <f t="shared" si="3"/>
        <v>9</v>
      </c>
      <c r="O21" s="12">
        <f t="shared" si="3"/>
        <v>240</v>
      </c>
      <c r="P21" s="12">
        <f>SUM(N21:O21)</f>
        <v>249</v>
      </c>
      <c r="Q21" s="11">
        <f t="shared" si="4"/>
        <v>3</v>
      </c>
      <c r="R21" s="12">
        <f t="shared" si="4"/>
        <v>132</v>
      </c>
      <c r="S21" s="12">
        <f>SUM(Q21:R21)</f>
        <v>135</v>
      </c>
      <c r="U21"/>
      <c r="V21"/>
    </row>
    <row r="22" spans="1:22" ht="12.75">
      <c r="A22" s="19" t="s">
        <v>4</v>
      </c>
      <c r="B22" s="70">
        <f aca="true" t="shared" si="5" ref="B22:S22">SUM(B18:B21)</f>
        <v>86</v>
      </c>
      <c r="C22" s="71">
        <f t="shared" si="5"/>
        <v>876</v>
      </c>
      <c r="D22" s="71">
        <f t="shared" si="5"/>
        <v>962</v>
      </c>
      <c r="E22" s="70">
        <f t="shared" si="5"/>
        <v>25</v>
      </c>
      <c r="F22" s="71">
        <f t="shared" si="5"/>
        <v>417</v>
      </c>
      <c r="G22" s="71">
        <f t="shared" si="5"/>
        <v>442</v>
      </c>
      <c r="H22" s="70">
        <f t="shared" si="5"/>
        <v>46</v>
      </c>
      <c r="I22" s="71">
        <f t="shared" si="5"/>
        <v>1040</v>
      </c>
      <c r="J22" s="71">
        <f t="shared" si="5"/>
        <v>1086</v>
      </c>
      <c r="K22" s="70">
        <f t="shared" si="5"/>
        <v>25</v>
      </c>
      <c r="L22" s="71">
        <f t="shared" si="5"/>
        <v>529</v>
      </c>
      <c r="M22" s="71">
        <f t="shared" si="5"/>
        <v>554</v>
      </c>
      <c r="N22" s="70">
        <f t="shared" si="5"/>
        <v>132</v>
      </c>
      <c r="O22" s="71">
        <f t="shared" si="5"/>
        <v>1916</v>
      </c>
      <c r="P22" s="71">
        <f t="shared" si="5"/>
        <v>2048</v>
      </c>
      <c r="Q22" s="70">
        <f t="shared" si="5"/>
        <v>50</v>
      </c>
      <c r="R22" s="71">
        <f t="shared" si="5"/>
        <v>946</v>
      </c>
      <c r="S22" s="71">
        <f t="shared" si="5"/>
        <v>996</v>
      </c>
      <c r="U22"/>
      <c r="V22"/>
    </row>
    <row r="23" spans="1:22" ht="12.75">
      <c r="A23" s="2"/>
      <c r="B23" s="11"/>
      <c r="C23" s="12"/>
      <c r="D23" s="12"/>
      <c r="E23" s="11"/>
      <c r="F23" s="12"/>
      <c r="G23" s="12"/>
      <c r="H23" s="11"/>
      <c r="I23" s="12"/>
      <c r="J23" s="12"/>
      <c r="K23" s="11"/>
      <c r="L23" s="12"/>
      <c r="M23" s="12"/>
      <c r="N23" s="11"/>
      <c r="O23" s="12"/>
      <c r="P23" s="12"/>
      <c r="Q23" s="11"/>
      <c r="R23" s="12"/>
      <c r="S23" s="12"/>
      <c r="U23"/>
      <c r="V23"/>
    </row>
    <row r="24" spans="1:22" ht="12.75">
      <c r="A24" s="1" t="s">
        <v>12</v>
      </c>
      <c r="B24" s="11"/>
      <c r="C24" s="12"/>
      <c r="D24" s="12"/>
      <c r="E24" s="11"/>
      <c r="F24" s="12"/>
      <c r="G24" s="12"/>
      <c r="H24" s="11"/>
      <c r="I24" s="12"/>
      <c r="J24" s="12"/>
      <c r="K24" s="11"/>
      <c r="L24" s="12"/>
      <c r="M24" s="12"/>
      <c r="N24" s="11"/>
      <c r="O24" s="12"/>
      <c r="P24" s="12"/>
      <c r="Q24" s="11"/>
      <c r="R24" s="12"/>
      <c r="S24" s="12"/>
      <c r="U24"/>
      <c r="V24"/>
    </row>
    <row r="25" spans="1:22" ht="12.75">
      <c r="A25" s="2" t="s">
        <v>42</v>
      </c>
      <c r="B25" s="11">
        <f>196-B39</f>
        <v>194</v>
      </c>
      <c r="C25" s="12">
        <f>548-C39</f>
        <v>539</v>
      </c>
      <c r="D25" s="12">
        <f>SUM(B25:C25)</f>
        <v>733</v>
      </c>
      <c r="E25" s="11">
        <f>106-E39</f>
        <v>106</v>
      </c>
      <c r="F25" s="12">
        <f>213-F39</f>
        <v>208</v>
      </c>
      <c r="G25" s="12">
        <f>SUM(E25:F25)</f>
        <v>314</v>
      </c>
      <c r="H25" s="11">
        <f>43-H39</f>
        <v>43</v>
      </c>
      <c r="I25" s="12">
        <f>322-I39</f>
        <v>313</v>
      </c>
      <c r="J25" s="12">
        <f>SUM(H25:I25)</f>
        <v>356</v>
      </c>
      <c r="K25" s="11">
        <f>44-K39</f>
        <v>44</v>
      </c>
      <c r="L25" s="12">
        <f>150-L39</f>
        <v>146</v>
      </c>
      <c r="M25" s="12">
        <f>SUM(K25:L25)</f>
        <v>190</v>
      </c>
      <c r="N25" s="11">
        <f aca="true" t="shared" si="6" ref="N25:O28">SUM(B25,H25)</f>
        <v>237</v>
      </c>
      <c r="O25" s="12">
        <f t="shared" si="6"/>
        <v>852</v>
      </c>
      <c r="P25" s="12">
        <f>SUM(N25:O25)</f>
        <v>1089</v>
      </c>
      <c r="Q25" s="11">
        <f aca="true" t="shared" si="7" ref="Q25:R28">SUM(E25,K25)</f>
        <v>150</v>
      </c>
      <c r="R25" s="12">
        <f t="shared" si="7"/>
        <v>354</v>
      </c>
      <c r="S25" s="12">
        <f>SUM(Q25:R25)</f>
        <v>504</v>
      </c>
      <c r="U25"/>
      <c r="V25"/>
    </row>
    <row r="26" spans="1:22" ht="12.75">
      <c r="A26" s="2" t="s">
        <v>8</v>
      </c>
      <c r="B26" s="11">
        <f>700-B40</f>
        <v>693</v>
      </c>
      <c r="C26" s="12">
        <f>1226-C40</f>
        <v>1194</v>
      </c>
      <c r="D26" s="12">
        <f>SUM(B26:C26)</f>
        <v>1887</v>
      </c>
      <c r="E26" s="11">
        <f>248-E40</f>
        <v>243</v>
      </c>
      <c r="F26" s="12">
        <f>433-F40</f>
        <v>424</v>
      </c>
      <c r="G26" s="12">
        <f>SUM(E26:F26)</f>
        <v>667</v>
      </c>
      <c r="H26" s="11">
        <f>200-H40</f>
        <v>199</v>
      </c>
      <c r="I26" s="12">
        <f>1383-I40</f>
        <v>1344</v>
      </c>
      <c r="J26" s="12">
        <f>SUM(H26:I26)</f>
        <v>1543</v>
      </c>
      <c r="K26" s="11">
        <f>115-K40</f>
        <v>112</v>
      </c>
      <c r="L26" s="12">
        <f>439-L40</f>
        <v>429</v>
      </c>
      <c r="M26" s="12">
        <f>SUM(K26:L26)</f>
        <v>541</v>
      </c>
      <c r="N26" s="11">
        <f t="shared" si="6"/>
        <v>892</v>
      </c>
      <c r="O26" s="12">
        <f t="shared" si="6"/>
        <v>2538</v>
      </c>
      <c r="P26" s="12">
        <f>SUM(N26:O26)</f>
        <v>3430</v>
      </c>
      <c r="Q26" s="11">
        <f t="shared" si="7"/>
        <v>355</v>
      </c>
      <c r="R26" s="12">
        <f t="shared" si="7"/>
        <v>853</v>
      </c>
      <c r="S26" s="12">
        <f>SUM(Q26:R26)</f>
        <v>1208</v>
      </c>
      <c r="U26"/>
      <c r="V26"/>
    </row>
    <row r="27" spans="1:22" ht="12.75">
      <c r="A27" s="2" t="s">
        <v>9</v>
      </c>
      <c r="B27" s="11">
        <f>43-B41</f>
        <v>41</v>
      </c>
      <c r="C27" s="12">
        <f>68-C41</f>
        <v>68</v>
      </c>
      <c r="D27" s="12">
        <f>SUM(B27:C27)</f>
        <v>109</v>
      </c>
      <c r="E27" s="11">
        <f>14-E41</f>
        <v>14</v>
      </c>
      <c r="F27" s="12">
        <f>25-F41</f>
        <v>25</v>
      </c>
      <c r="G27" s="12">
        <f>SUM(E27:F27)</f>
        <v>39</v>
      </c>
      <c r="H27" s="11">
        <f>8-H41</f>
        <v>7</v>
      </c>
      <c r="I27" s="12">
        <f>60-I41</f>
        <v>59</v>
      </c>
      <c r="J27" s="12">
        <f>SUM(H27:I27)</f>
        <v>66</v>
      </c>
      <c r="K27" s="11">
        <f>9-K41</f>
        <v>9</v>
      </c>
      <c r="L27" s="12">
        <f>17-L41</f>
        <v>17</v>
      </c>
      <c r="M27" s="12">
        <f>SUM(K27:L27)</f>
        <v>26</v>
      </c>
      <c r="N27" s="11">
        <f t="shared" si="6"/>
        <v>48</v>
      </c>
      <c r="O27" s="12">
        <f t="shared" si="6"/>
        <v>127</v>
      </c>
      <c r="P27" s="12">
        <f>SUM(N27:O27)</f>
        <v>175</v>
      </c>
      <c r="Q27" s="11">
        <f t="shared" si="7"/>
        <v>23</v>
      </c>
      <c r="R27" s="12">
        <f t="shared" si="7"/>
        <v>42</v>
      </c>
      <c r="S27" s="12">
        <f>SUM(Q27:R27)</f>
        <v>65</v>
      </c>
      <c r="U27"/>
      <c r="V27"/>
    </row>
    <row r="28" spans="1:22" ht="12.75">
      <c r="A28" s="2" t="s">
        <v>10</v>
      </c>
      <c r="B28" s="11">
        <f>43-B42</f>
        <v>43</v>
      </c>
      <c r="C28" s="12">
        <f>104-C42</f>
        <v>104</v>
      </c>
      <c r="D28" s="12">
        <f>SUM(B28:C28)</f>
        <v>147</v>
      </c>
      <c r="E28" s="11">
        <f>21-E42</f>
        <v>21</v>
      </c>
      <c r="F28" s="12">
        <f>37-F42</f>
        <v>37</v>
      </c>
      <c r="G28" s="12">
        <f>SUM(E28:F28)</f>
        <v>58</v>
      </c>
      <c r="H28" s="11">
        <f>6-H42</f>
        <v>6</v>
      </c>
      <c r="I28" s="12">
        <f>91-I42</f>
        <v>91</v>
      </c>
      <c r="J28" s="12">
        <f>SUM(H28:I28)</f>
        <v>97</v>
      </c>
      <c r="K28" s="11">
        <f>15-K42</f>
        <v>15</v>
      </c>
      <c r="L28" s="12">
        <f>35-L42</f>
        <v>35</v>
      </c>
      <c r="M28" s="12">
        <f>SUM(K28:L28)</f>
        <v>50</v>
      </c>
      <c r="N28" s="11">
        <f t="shared" si="6"/>
        <v>49</v>
      </c>
      <c r="O28" s="12">
        <f t="shared" si="6"/>
        <v>195</v>
      </c>
      <c r="P28" s="12">
        <f>SUM(N28:O28)</f>
        <v>244</v>
      </c>
      <c r="Q28" s="11">
        <f t="shared" si="7"/>
        <v>36</v>
      </c>
      <c r="R28" s="12">
        <f t="shared" si="7"/>
        <v>72</v>
      </c>
      <c r="S28" s="12">
        <f>SUM(Q28:R28)</f>
        <v>108</v>
      </c>
      <c r="U28"/>
      <c r="V28"/>
    </row>
    <row r="29" spans="1:22" ht="12.75">
      <c r="A29" s="19" t="s">
        <v>4</v>
      </c>
      <c r="B29" s="70">
        <f aca="true" t="shared" si="8" ref="B29:S29">SUM(B25:B28)</f>
        <v>971</v>
      </c>
      <c r="C29" s="71">
        <f t="shared" si="8"/>
        <v>1905</v>
      </c>
      <c r="D29" s="71">
        <f t="shared" si="8"/>
        <v>2876</v>
      </c>
      <c r="E29" s="70">
        <f t="shared" si="8"/>
        <v>384</v>
      </c>
      <c r="F29" s="71">
        <f t="shared" si="8"/>
        <v>694</v>
      </c>
      <c r="G29" s="71">
        <f t="shared" si="8"/>
        <v>1078</v>
      </c>
      <c r="H29" s="70">
        <f t="shared" si="8"/>
        <v>255</v>
      </c>
      <c r="I29" s="71">
        <f t="shared" si="8"/>
        <v>1807</v>
      </c>
      <c r="J29" s="71">
        <f t="shared" si="8"/>
        <v>2062</v>
      </c>
      <c r="K29" s="70">
        <f t="shared" si="8"/>
        <v>180</v>
      </c>
      <c r="L29" s="71">
        <f t="shared" si="8"/>
        <v>627</v>
      </c>
      <c r="M29" s="71">
        <f t="shared" si="8"/>
        <v>807</v>
      </c>
      <c r="N29" s="70">
        <f t="shared" si="8"/>
        <v>1226</v>
      </c>
      <c r="O29" s="71">
        <f t="shared" si="8"/>
        <v>3712</v>
      </c>
      <c r="P29" s="71">
        <f t="shared" si="8"/>
        <v>4938</v>
      </c>
      <c r="Q29" s="70">
        <f t="shared" si="8"/>
        <v>564</v>
      </c>
      <c r="R29" s="71">
        <f t="shared" si="8"/>
        <v>1321</v>
      </c>
      <c r="S29" s="71">
        <f t="shared" si="8"/>
        <v>1885</v>
      </c>
      <c r="U29"/>
      <c r="V29"/>
    </row>
    <row r="30" spans="1:22" ht="12.75">
      <c r="A30" s="3"/>
      <c r="B30" s="11"/>
      <c r="C30" s="12"/>
      <c r="D30" s="12"/>
      <c r="E30" s="11"/>
      <c r="F30" s="12"/>
      <c r="G30" s="12"/>
      <c r="H30" s="11"/>
      <c r="I30" s="12"/>
      <c r="J30" s="12"/>
      <c r="K30" s="11"/>
      <c r="L30" s="12"/>
      <c r="M30" s="12"/>
      <c r="N30" s="11"/>
      <c r="O30" s="12"/>
      <c r="P30" s="12"/>
      <c r="Q30" s="11"/>
      <c r="R30" s="12"/>
      <c r="S30" s="12"/>
      <c r="U30"/>
      <c r="V30"/>
    </row>
    <row r="31" spans="1:22" ht="12.75">
      <c r="A31" s="1" t="s">
        <v>13</v>
      </c>
      <c r="B31" s="11"/>
      <c r="C31" s="12"/>
      <c r="D31" s="12"/>
      <c r="E31" s="11"/>
      <c r="F31" s="12"/>
      <c r="G31" s="12"/>
      <c r="H31" s="11"/>
      <c r="I31" s="12"/>
      <c r="J31" s="12"/>
      <c r="K31" s="11"/>
      <c r="L31" s="12"/>
      <c r="M31" s="12"/>
      <c r="N31" s="11"/>
      <c r="O31" s="12"/>
      <c r="P31" s="12"/>
      <c r="Q31" s="11"/>
      <c r="R31" s="12"/>
      <c r="S31" s="12"/>
      <c r="U31"/>
      <c r="V31"/>
    </row>
    <row r="32" spans="1:22" ht="12.75">
      <c r="A32" s="2" t="s">
        <v>42</v>
      </c>
      <c r="B32" s="11">
        <v>27</v>
      </c>
      <c r="C32" s="12">
        <v>158</v>
      </c>
      <c r="D32" s="12">
        <f>SUM(B32:C32)</f>
        <v>185</v>
      </c>
      <c r="E32" s="11">
        <v>10</v>
      </c>
      <c r="F32" s="12">
        <v>61</v>
      </c>
      <c r="G32" s="12">
        <f>SUM(E32:F32)</f>
        <v>71</v>
      </c>
      <c r="H32" s="11">
        <v>10</v>
      </c>
      <c r="I32" s="12">
        <v>110</v>
      </c>
      <c r="J32" s="12">
        <f>SUM(H32:I32)</f>
        <v>120</v>
      </c>
      <c r="K32" s="11">
        <v>10</v>
      </c>
      <c r="L32" s="12">
        <v>68</v>
      </c>
      <c r="M32" s="12">
        <f>SUM(K32:L32)</f>
        <v>78</v>
      </c>
      <c r="N32" s="11">
        <f aca="true" t="shared" si="9" ref="N32:O35">SUM(B32,H32)</f>
        <v>37</v>
      </c>
      <c r="O32" s="12">
        <f t="shared" si="9"/>
        <v>268</v>
      </c>
      <c r="P32" s="12">
        <f>SUM(N32:O32)</f>
        <v>305</v>
      </c>
      <c r="Q32" s="11">
        <f aca="true" t="shared" si="10" ref="Q32:R35">SUM(E32,K32)</f>
        <v>20</v>
      </c>
      <c r="R32" s="12">
        <f t="shared" si="10"/>
        <v>129</v>
      </c>
      <c r="S32" s="12">
        <f>SUM(Q32:R32)</f>
        <v>149</v>
      </c>
      <c r="U32"/>
      <c r="V32"/>
    </row>
    <row r="33" spans="1:22" ht="12.75">
      <c r="A33" s="2" t="s">
        <v>8</v>
      </c>
      <c r="B33" s="11">
        <v>72</v>
      </c>
      <c r="C33" s="12">
        <v>298</v>
      </c>
      <c r="D33" s="12">
        <f>SUM(B33:C33)</f>
        <v>370</v>
      </c>
      <c r="E33" s="11">
        <v>35</v>
      </c>
      <c r="F33" s="12">
        <v>122</v>
      </c>
      <c r="G33" s="12">
        <f>SUM(E33:F33)</f>
        <v>157</v>
      </c>
      <c r="H33" s="11">
        <v>30</v>
      </c>
      <c r="I33" s="12">
        <v>261</v>
      </c>
      <c r="J33" s="12">
        <f>SUM(H33:I33)</f>
        <v>291</v>
      </c>
      <c r="K33" s="11">
        <v>14</v>
      </c>
      <c r="L33" s="12">
        <v>162</v>
      </c>
      <c r="M33" s="12">
        <f>SUM(K33:L33)</f>
        <v>176</v>
      </c>
      <c r="N33" s="11">
        <f t="shared" si="9"/>
        <v>102</v>
      </c>
      <c r="O33" s="12">
        <f t="shared" si="9"/>
        <v>559</v>
      </c>
      <c r="P33" s="12">
        <f>SUM(N33:O33)</f>
        <v>661</v>
      </c>
      <c r="Q33" s="11">
        <f t="shared" si="10"/>
        <v>49</v>
      </c>
      <c r="R33" s="12">
        <f t="shared" si="10"/>
        <v>284</v>
      </c>
      <c r="S33" s="12">
        <f>SUM(Q33:R33)</f>
        <v>333</v>
      </c>
      <c r="U33"/>
      <c r="V33"/>
    </row>
    <row r="34" spans="1:22" ht="12.75">
      <c r="A34" s="2" t="s">
        <v>9</v>
      </c>
      <c r="B34" s="11">
        <v>0</v>
      </c>
      <c r="C34" s="12">
        <v>2</v>
      </c>
      <c r="D34" s="12">
        <f>SUM(B34:C34)</f>
        <v>2</v>
      </c>
      <c r="E34" s="11">
        <v>1</v>
      </c>
      <c r="F34" s="12">
        <v>3</v>
      </c>
      <c r="G34" s="12">
        <f>SUM(E34:F34)</f>
        <v>4</v>
      </c>
      <c r="H34" s="11">
        <v>2</v>
      </c>
      <c r="I34" s="12">
        <v>7</v>
      </c>
      <c r="J34" s="12">
        <f>SUM(H34:I34)</f>
        <v>9</v>
      </c>
      <c r="K34" s="13"/>
      <c r="L34" s="12">
        <v>6</v>
      </c>
      <c r="M34" s="12">
        <f>SUM(K34:L34)</f>
        <v>6</v>
      </c>
      <c r="N34" s="11">
        <f t="shared" si="9"/>
        <v>2</v>
      </c>
      <c r="O34" s="12">
        <f t="shared" si="9"/>
        <v>9</v>
      </c>
      <c r="P34" s="12">
        <f>SUM(N34:O34)</f>
        <v>11</v>
      </c>
      <c r="Q34" s="11">
        <f t="shared" si="10"/>
        <v>1</v>
      </c>
      <c r="R34" s="12">
        <f t="shared" si="10"/>
        <v>9</v>
      </c>
      <c r="S34" s="12">
        <f>SUM(Q34:R34)</f>
        <v>10</v>
      </c>
      <c r="U34"/>
      <c r="V34"/>
    </row>
    <row r="35" spans="1:22" ht="12.75">
      <c r="A35" s="2" t="s">
        <v>10</v>
      </c>
      <c r="B35" s="11">
        <v>8</v>
      </c>
      <c r="C35" s="12">
        <v>45</v>
      </c>
      <c r="D35" s="12">
        <f>SUM(B35:C35)</f>
        <v>53</v>
      </c>
      <c r="E35" s="11">
        <v>7</v>
      </c>
      <c r="F35" s="12">
        <v>24</v>
      </c>
      <c r="G35" s="12">
        <f>SUM(E35:F35)</f>
        <v>31</v>
      </c>
      <c r="H35" s="11">
        <v>5</v>
      </c>
      <c r="I35" s="12">
        <v>30</v>
      </c>
      <c r="J35" s="12">
        <f>SUM(H35:I35)</f>
        <v>35</v>
      </c>
      <c r="K35" s="11">
        <v>4</v>
      </c>
      <c r="L35" s="12">
        <v>18</v>
      </c>
      <c r="M35" s="12">
        <f>SUM(K35:L35)</f>
        <v>22</v>
      </c>
      <c r="N35" s="11">
        <f t="shared" si="9"/>
        <v>13</v>
      </c>
      <c r="O35" s="12">
        <f t="shared" si="9"/>
        <v>75</v>
      </c>
      <c r="P35" s="12">
        <f>SUM(N35:O35)</f>
        <v>88</v>
      </c>
      <c r="Q35" s="11">
        <f t="shared" si="10"/>
        <v>11</v>
      </c>
      <c r="R35" s="12">
        <f t="shared" si="10"/>
        <v>42</v>
      </c>
      <c r="S35" s="12">
        <f>SUM(Q35:R35)</f>
        <v>53</v>
      </c>
      <c r="U35"/>
      <c r="V35"/>
    </row>
    <row r="36" spans="1:22" ht="12.75">
      <c r="A36" s="19" t="s">
        <v>4</v>
      </c>
      <c r="B36" s="70">
        <f aca="true" t="shared" si="11" ref="B36:S36">SUM(B32:B35)</f>
        <v>107</v>
      </c>
      <c r="C36" s="71">
        <f t="shared" si="11"/>
        <v>503</v>
      </c>
      <c r="D36" s="71">
        <f t="shared" si="11"/>
        <v>610</v>
      </c>
      <c r="E36" s="70">
        <f t="shared" si="11"/>
        <v>53</v>
      </c>
      <c r="F36" s="71">
        <f t="shared" si="11"/>
        <v>210</v>
      </c>
      <c r="G36" s="71">
        <f t="shared" si="11"/>
        <v>263</v>
      </c>
      <c r="H36" s="70">
        <f t="shared" si="11"/>
        <v>47</v>
      </c>
      <c r="I36" s="71">
        <f t="shared" si="11"/>
        <v>408</v>
      </c>
      <c r="J36" s="71">
        <f t="shared" si="11"/>
        <v>455</v>
      </c>
      <c r="K36" s="70">
        <f t="shared" si="11"/>
        <v>28</v>
      </c>
      <c r="L36" s="71">
        <f t="shared" si="11"/>
        <v>254</v>
      </c>
      <c r="M36" s="71">
        <f t="shared" si="11"/>
        <v>282</v>
      </c>
      <c r="N36" s="70">
        <f t="shared" si="11"/>
        <v>154</v>
      </c>
      <c r="O36" s="71">
        <f t="shared" si="11"/>
        <v>911</v>
      </c>
      <c r="P36" s="71">
        <f t="shared" si="11"/>
        <v>1065</v>
      </c>
      <c r="Q36" s="70">
        <f t="shared" si="11"/>
        <v>81</v>
      </c>
      <c r="R36" s="71">
        <f t="shared" si="11"/>
        <v>464</v>
      </c>
      <c r="S36" s="71">
        <f t="shared" si="11"/>
        <v>545</v>
      </c>
      <c r="U36"/>
      <c r="V36"/>
    </row>
    <row r="37" spans="1:22" ht="12.75">
      <c r="A37" s="19"/>
      <c r="B37" s="23"/>
      <c r="C37" s="24"/>
      <c r="D37" s="24"/>
      <c r="E37" s="23"/>
      <c r="F37" s="24"/>
      <c r="G37" s="24"/>
      <c r="H37" s="23"/>
      <c r="I37" s="24"/>
      <c r="J37" s="24"/>
      <c r="K37" s="23"/>
      <c r="L37" s="24"/>
      <c r="M37" s="24"/>
      <c r="N37" s="23"/>
      <c r="O37" s="24"/>
      <c r="P37" s="24"/>
      <c r="Q37" s="23"/>
      <c r="R37" s="24"/>
      <c r="S37" s="24"/>
      <c r="U37"/>
      <c r="V37"/>
    </row>
    <row r="38" spans="1:22" ht="12.75">
      <c r="A38" s="1" t="s">
        <v>120</v>
      </c>
      <c r="B38" s="11"/>
      <c r="C38" s="12"/>
      <c r="D38" s="12"/>
      <c r="E38" s="11"/>
      <c r="F38" s="12"/>
      <c r="G38" s="12"/>
      <c r="H38" s="11"/>
      <c r="I38" s="12"/>
      <c r="J38" s="12"/>
      <c r="K38" s="11"/>
      <c r="L38" s="12"/>
      <c r="M38" s="12"/>
      <c r="N38" s="11"/>
      <c r="O38" s="12"/>
      <c r="P38" s="12"/>
      <c r="Q38" s="11"/>
      <c r="R38" s="12"/>
      <c r="S38" s="12"/>
      <c r="U38"/>
      <c r="V38"/>
    </row>
    <row r="39" spans="1:22" ht="12.75">
      <c r="A39" s="2" t="s">
        <v>42</v>
      </c>
      <c r="B39" s="11">
        <v>2</v>
      </c>
      <c r="C39" s="12">
        <v>9</v>
      </c>
      <c r="D39" s="12">
        <f>SUM(B39:C39)</f>
        <v>11</v>
      </c>
      <c r="E39" s="11">
        <v>0</v>
      </c>
      <c r="F39" s="12">
        <v>5</v>
      </c>
      <c r="G39" s="12">
        <f>SUM(E39:F39)</f>
        <v>5</v>
      </c>
      <c r="H39" s="11">
        <v>0</v>
      </c>
      <c r="I39" s="12">
        <v>9</v>
      </c>
      <c r="J39" s="12">
        <f>SUM(H39:I39)</f>
        <v>9</v>
      </c>
      <c r="K39" s="11">
        <v>0</v>
      </c>
      <c r="L39" s="12">
        <v>4</v>
      </c>
      <c r="M39" s="12">
        <f>SUM(K39:L39)</f>
        <v>4</v>
      </c>
      <c r="N39" s="11">
        <f aca="true" t="shared" si="12" ref="N39:O42">SUM(B39,H39)</f>
        <v>2</v>
      </c>
      <c r="O39" s="12">
        <f t="shared" si="12"/>
        <v>18</v>
      </c>
      <c r="P39" s="12">
        <f>SUM(N39:O39)</f>
        <v>20</v>
      </c>
      <c r="Q39" s="11">
        <f aca="true" t="shared" si="13" ref="Q39:R42">SUM(E39,K39)</f>
        <v>0</v>
      </c>
      <c r="R39" s="12">
        <f t="shared" si="13"/>
        <v>9</v>
      </c>
      <c r="S39" s="12">
        <f>SUM(Q39:R39)</f>
        <v>9</v>
      </c>
      <c r="U39"/>
      <c r="V39"/>
    </row>
    <row r="40" spans="1:22" ht="12.75">
      <c r="A40" s="2" t="s">
        <v>8</v>
      </c>
      <c r="B40" s="11">
        <v>7</v>
      </c>
      <c r="C40" s="12">
        <v>32</v>
      </c>
      <c r="D40" s="12">
        <f>SUM(B40:C40)</f>
        <v>39</v>
      </c>
      <c r="E40" s="11">
        <v>5</v>
      </c>
      <c r="F40" s="12">
        <v>9</v>
      </c>
      <c r="G40" s="12">
        <f>SUM(E40:F40)</f>
        <v>14</v>
      </c>
      <c r="H40" s="11">
        <v>1</v>
      </c>
      <c r="I40" s="12">
        <v>39</v>
      </c>
      <c r="J40" s="12">
        <f>SUM(H40:I40)</f>
        <v>40</v>
      </c>
      <c r="K40" s="11">
        <v>3</v>
      </c>
      <c r="L40" s="12">
        <v>10</v>
      </c>
      <c r="M40" s="12">
        <f>SUM(K40:L40)</f>
        <v>13</v>
      </c>
      <c r="N40" s="11">
        <f t="shared" si="12"/>
        <v>8</v>
      </c>
      <c r="O40" s="12">
        <f t="shared" si="12"/>
        <v>71</v>
      </c>
      <c r="P40" s="12">
        <f>SUM(N40:O40)</f>
        <v>79</v>
      </c>
      <c r="Q40" s="11">
        <f t="shared" si="13"/>
        <v>8</v>
      </c>
      <c r="R40" s="12">
        <f t="shared" si="13"/>
        <v>19</v>
      </c>
      <c r="S40" s="12">
        <f>SUM(Q40:R40)</f>
        <v>27</v>
      </c>
      <c r="U40"/>
      <c r="V40"/>
    </row>
    <row r="41" spans="1:22" ht="12.75">
      <c r="A41" s="2" t="s">
        <v>9</v>
      </c>
      <c r="B41" s="11">
        <v>2</v>
      </c>
      <c r="C41" s="12">
        <v>0</v>
      </c>
      <c r="D41" s="12">
        <f>SUM(B41:C41)</f>
        <v>2</v>
      </c>
      <c r="E41" s="11">
        <v>0</v>
      </c>
      <c r="F41" s="12">
        <v>0</v>
      </c>
      <c r="G41" s="12">
        <f>SUM(E41:F41)</f>
        <v>0</v>
      </c>
      <c r="H41" s="11">
        <v>1</v>
      </c>
      <c r="I41" s="12">
        <v>1</v>
      </c>
      <c r="J41" s="12">
        <f>SUM(H41:I41)</f>
        <v>2</v>
      </c>
      <c r="K41" s="13">
        <v>0</v>
      </c>
      <c r="L41" s="12">
        <v>0</v>
      </c>
      <c r="M41" s="12">
        <f>SUM(K41:L41)</f>
        <v>0</v>
      </c>
      <c r="N41" s="11">
        <f t="shared" si="12"/>
        <v>3</v>
      </c>
      <c r="O41" s="12">
        <f t="shared" si="12"/>
        <v>1</v>
      </c>
      <c r="P41" s="12">
        <f>SUM(N41:O41)</f>
        <v>4</v>
      </c>
      <c r="Q41" s="11">
        <f t="shared" si="13"/>
        <v>0</v>
      </c>
      <c r="R41" s="12">
        <f t="shared" si="13"/>
        <v>0</v>
      </c>
      <c r="S41" s="12">
        <f>SUM(Q41:R41)</f>
        <v>0</v>
      </c>
      <c r="U41"/>
      <c r="V41"/>
    </row>
    <row r="42" spans="1:22" ht="12.75">
      <c r="A42" s="2" t="s">
        <v>10</v>
      </c>
      <c r="B42" s="11">
        <v>0</v>
      </c>
      <c r="C42" s="12">
        <v>0</v>
      </c>
      <c r="D42" s="12">
        <f>SUM(B42:C42)</f>
        <v>0</v>
      </c>
      <c r="E42" s="11">
        <v>0</v>
      </c>
      <c r="F42" s="12">
        <v>0</v>
      </c>
      <c r="G42" s="12">
        <f>SUM(E42:F42)</f>
        <v>0</v>
      </c>
      <c r="H42" s="11">
        <v>0</v>
      </c>
      <c r="I42" s="12">
        <v>0</v>
      </c>
      <c r="J42" s="12">
        <f>SUM(H42:I42)</f>
        <v>0</v>
      </c>
      <c r="K42" s="11">
        <v>0</v>
      </c>
      <c r="L42" s="12">
        <v>0</v>
      </c>
      <c r="M42" s="12">
        <f>SUM(K42:L42)</f>
        <v>0</v>
      </c>
      <c r="N42" s="11">
        <f t="shared" si="12"/>
        <v>0</v>
      </c>
      <c r="O42" s="12">
        <f t="shared" si="12"/>
        <v>0</v>
      </c>
      <c r="P42" s="12">
        <f>SUM(N42:O42)</f>
        <v>0</v>
      </c>
      <c r="Q42" s="11">
        <f t="shared" si="13"/>
        <v>0</v>
      </c>
      <c r="R42" s="12">
        <f t="shared" si="13"/>
        <v>0</v>
      </c>
      <c r="S42" s="12">
        <f>SUM(Q42:R42)</f>
        <v>0</v>
      </c>
      <c r="U42"/>
      <c r="V42"/>
    </row>
    <row r="43" spans="1:22" ht="12.75">
      <c r="A43" s="19" t="s">
        <v>4</v>
      </c>
      <c r="B43" s="70">
        <f aca="true" t="shared" si="14" ref="B43:S43">SUM(B39:B42)</f>
        <v>11</v>
      </c>
      <c r="C43" s="71">
        <f t="shared" si="14"/>
        <v>41</v>
      </c>
      <c r="D43" s="71">
        <f t="shared" si="14"/>
        <v>52</v>
      </c>
      <c r="E43" s="70">
        <f t="shared" si="14"/>
        <v>5</v>
      </c>
      <c r="F43" s="71">
        <f t="shared" si="14"/>
        <v>14</v>
      </c>
      <c r="G43" s="71">
        <f t="shared" si="14"/>
        <v>19</v>
      </c>
      <c r="H43" s="70">
        <f t="shared" si="14"/>
        <v>2</v>
      </c>
      <c r="I43" s="71">
        <f t="shared" si="14"/>
        <v>49</v>
      </c>
      <c r="J43" s="71">
        <f t="shared" si="14"/>
        <v>51</v>
      </c>
      <c r="K43" s="70">
        <f t="shared" si="14"/>
        <v>3</v>
      </c>
      <c r="L43" s="71">
        <f t="shared" si="14"/>
        <v>14</v>
      </c>
      <c r="M43" s="71">
        <f t="shared" si="14"/>
        <v>17</v>
      </c>
      <c r="N43" s="70">
        <f t="shared" si="14"/>
        <v>13</v>
      </c>
      <c r="O43" s="71">
        <f t="shared" si="14"/>
        <v>90</v>
      </c>
      <c r="P43" s="71">
        <f t="shared" si="14"/>
        <v>103</v>
      </c>
      <c r="Q43" s="70">
        <f t="shared" si="14"/>
        <v>8</v>
      </c>
      <c r="R43" s="71">
        <f t="shared" si="14"/>
        <v>28</v>
      </c>
      <c r="S43" s="71">
        <f t="shared" si="14"/>
        <v>36</v>
      </c>
      <c r="U43"/>
      <c r="V43"/>
    </row>
    <row r="44" spans="1:22" ht="12.75">
      <c r="A44" s="2"/>
      <c r="B44" s="11"/>
      <c r="C44" s="12"/>
      <c r="D44" s="12"/>
      <c r="E44" s="11"/>
      <c r="F44" s="12"/>
      <c r="G44" s="12"/>
      <c r="H44" s="11"/>
      <c r="I44" s="12"/>
      <c r="J44" s="12"/>
      <c r="K44" s="11"/>
      <c r="L44" s="12"/>
      <c r="M44" s="12"/>
      <c r="N44" s="11"/>
      <c r="O44" s="12"/>
      <c r="P44" s="12"/>
      <c r="Q44" s="11"/>
      <c r="R44" s="12"/>
      <c r="S44" s="12"/>
      <c r="U44"/>
      <c r="V44"/>
    </row>
    <row r="45" spans="1:22" ht="12.75">
      <c r="A45" s="1" t="s">
        <v>14</v>
      </c>
      <c r="B45" s="11"/>
      <c r="C45" s="12"/>
      <c r="D45" s="12"/>
      <c r="E45" s="11"/>
      <c r="F45" s="12"/>
      <c r="G45" s="12"/>
      <c r="H45" s="11"/>
      <c r="I45" s="12"/>
      <c r="J45" s="12"/>
      <c r="K45" s="11"/>
      <c r="L45" s="12"/>
      <c r="M45" s="12"/>
      <c r="N45" s="11"/>
      <c r="O45" s="12"/>
      <c r="P45" s="12"/>
      <c r="Q45" s="11"/>
      <c r="R45" s="12"/>
      <c r="S45" s="12"/>
      <c r="U45"/>
      <c r="V45"/>
    </row>
    <row r="46" spans="1:22" ht="12.75">
      <c r="A46" s="19" t="s">
        <v>4</v>
      </c>
      <c r="B46" s="23">
        <f>434+2</f>
        <v>436</v>
      </c>
      <c r="C46" s="24">
        <f>510+3</f>
        <v>513</v>
      </c>
      <c r="D46" s="24">
        <f>SUM(B46:C46)</f>
        <v>949</v>
      </c>
      <c r="E46" s="23">
        <v>153</v>
      </c>
      <c r="F46" s="24">
        <v>270</v>
      </c>
      <c r="G46" s="24">
        <f>SUM(E46:F46)</f>
        <v>423</v>
      </c>
      <c r="H46" s="23">
        <f>118+3</f>
        <v>121</v>
      </c>
      <c r="I46" s="24">
        <f>627+6</f>
        <v>633</v>
      </c>
      <c r="J46" s="24">
        <f>SUM(H46:I46)</f>
        <v>754</v>
      </c>
      <c r="K46" s="23">
        <v>65</v>
      </c>
      <c r="L46" s="24">
        <v>235</v>
      </c>
      <c r="M46" s="24">
        <f>SUM(K46:L46)</f>
        <v>300</v>
      </c>
      <c r="N46" s="23">
        <f>SUM(B46,H46)</f>
        <v>557</v>
      </c>
      <c r="O46" s="24">
        <f>SUM(C46,I46)</f>
        <v>1146</v>
      </c>
      <c r="P46" s="24">
        <f>SUM(N46:O46)</f>
        <v>1703</v>
      </c>
      <c r="Q46" s="23">
        <f>SUM(E46,K46)</f>
        <v>218</v>
      </c>
      <c r="R46" s="24">
        <f>SUM(F46,L46)</f>
        <v>505</v>
      </c>
      <c r="S46" s="24">
        <f>SUM(Q46:R46)</f>
        <v>723</v>
      </c>
      <c r="U46"/>
      <c r="V46"/>
    </row>
    <row r="47" spans="1:22" ht="12.75">
      <c r="A47" s="2"/>
      <c r="B47" s="11"/>
      <c r="C47" s="12"/>
      <c r="D47" s="12"/>
      <c r="E47" s="11"/>
      <c r="F47" s="12"/>
      <c r="G47" s="12"/>
      <c r="H47" s="11"/>
      <c r="I47" s="12"/>
      <c r="J47" s="12"/>
      <c r="K47" s="11"/>
      <c r="L47" s="12"/>
      <c r="M47" s="12"/>
      <c r="N47" s="11"/>
      <c r="O47" s="12"/>
      <c r="P47" s="12"/>
      <c r="Q47" s="11"/>
      <c r="R47" s="12"/>
      <c r="S47" s="12"/>
      <c r="U47"/>
      <c r="V47"/>
    </row>
    <row r="48" spans="1:22" s="75" customFormat="1" ht="12.75">
      <c r="A48" s="72" t="s">
        <v>48</v>
      </c>
      <c r="B48" s="84"/>
      <c r="C48" s="85"/>
      <c r="D48" s="161"/>
      <c r="E48" s="84"/>
      <c r="F48" s="85"/>
      <c r="G48" s="85"/>
      <c r="H48" s="84"/>
      <c r="I48" s="85"/>
      <c r="J48" s="85"/>
      <c r="K48" s="84"/>
      <c r="L48" s="85"/>
      <c r="M48" s="85"/>
      <c r="N48" s="84"/>
      <c r="O48" s="85"/>
      <c r="P48" s="85"/>
      <c r="Q48" s="84"/>
      <c r="R48" s="85"/>
      <c r="S48" s="85"/>
      <c r="U48"/>
      <c r="V48"/>
    </row>
    <row r="49" spans="1:22" s="75" customFormat="1" ht="14.25">
      <c r="A49" s="87" t="s">
        <v>4</v>
      </c>
      <c r="B49" s="91">
        <v>1</v>
      </c>
      <c r="C49" s="92">
        <v>21</v>
      </c>
      <c r="D49" s="92">
        <f>SUM(B49,C49)</f>
        <v>22</v>
      </c>
      <c r="E49" s="234">
        <v>3</v>
      </c>
      <c r="F49" s="235">
        <v>13</v>
      </c>
      <c r="G49" s="92">
        <f>SUM(E49:F49)</f>
        <v>16</v>
      </c>
      <c r="H49" s="91">
        <v>3</v>
      </c>
      <c r="I49" s="92">
        <v>48</v>
      </c>
      <c r="J49" s="92">
        <f>SUM(H49:I49)</f>
        <v>51</v>
      </c>
      <c r="K49" s="91">
        <v>6</v>
      </c>
      <c r="L49" s="92">
        <v>33</v>
      </c>
      <c r="M49" s="92">
        <f>SUM(K49:L49)</f>
        <v>39</v>
      </c>
      <c r="N49" s="91">
        <f>SUM(B49,H49)</f>
        <v>4</v>
      </c>
      <c r="O49" s="92">
        <f>SUM(C49,I49)</f>
        <v>69</v>
      </c>
      <c r="P49" s="92">
        <f>SUM(N49:O49)</f>
        <v>73</v>
      </c>
      <c r="Q49" s="91">
        <f>SUM(E49,K49)</f>
        <v>9</v>
      </c>
      <c r="R49" s="92">
        <f>SUM(F49,L49)</f>
        <v>46</v>
      </c>
      <c r="S49" s="92">
        <f>SUM(Q49:R49)</f>
        <v>55</v>
      </c>
      <c r="U49"/>
      <c r="V49"/>
    </row>
    <row r="50" spans="1:22" ht="12.75">
      <c r="A50" s="2"/>
      <c r="B50" s="11"/>
      <c r="C50" s="12"/>
      <c r="D50" s="12"/>
      <c r="E50" s="11"/>
      <c r="F50" s="12"/>
      <c r="G50" s="12"/>
      <c r="H50" s="11"/>
      <c r="I50" s="12"/>
      <c r="J50" s="12"/>
      <c r="K50" s="11"/>
      <c r="L50" s="12"/>
      <c r="M50" s="12"/>
      <c r="N50" s="11"/>
      <c r="O50" s="12"/>
      <c r="P50" s="12"/>
      <c r="Q50" s="11"/>
      <c r="R50" s="12"/>
      <c r="S50" s="12"/>
      <c r="U50"/>
      <c r="V50"/>
    </row>
    <row r="51" spans="1:22" ht="12.75">
      <c r="A51" s="1" t="s">
        <v>45</v>
      </c>
      <c r="B51" s="11"/>
      <c r="C51" s="12"/>
      <c r="D51" s="12"/>
      <c r="E51" s="11"/>
      <c r="F51" s="12"/>
      <c r="G51" s="12"/>
      <c r="H51" s="11"/>
      <c r="I51" s="12"/>
      <c r="J51" s="12"/>
      <c r="K51" s="11"/>
      <c r="L51" s="12"/>
      <c r="M51" s="12"/>
      <c r="N51" s="11"/>
      <c r="O51" s="12"/>
      <c r="P51" s="12"/>
      <c r="Q51" s="11"/>
      <c r="R51" s="12"/>
      <c r="S51" s="12"/>
      <c r="U51"/>
      <c r="V51"/>
    </row>
    <row r="52" spans="1:22" ht="12.75">
      <c r="A52" s="2" t="s">
        <v>42</v>
      </c>
      <c r="B52" s="11">
        <v>20</v>
      </c>
      <c r="C52" s="18">
        <v>98</v>
      </c>
      <c r="D52" s="12">
        <f>SUM(B52:C52)</f>
        <v>118</v>
      </c>
      <c r="E52" s="11">
        <v>8</v>
      </c>
      <c r="F52" s="12">
        <v>29</v>
      </c>
      <c r="G52" s="12">
        <f>SUM(E52:F52)</f>
        <v>37</v>
      </c>
      <c r="H52" s="11">
        <v>7</v>
      </c>
      <c r="I52" s="12">
        <v>49</v>
      </c>
      <c r="J52" s="12">
        <f>SUM(H52:I52)</f>
        <v>56</v>
      </c>
      <c r="K52" s="11">
        <v>2</v>
      </c>
      <c r="L52" s="12">
        <v>27</v>
      </c>
      <c r="M52" s="12">
        <f>SUM(K52:L52)</f>
        <v>29</v>
      </c>
      <c r="N52" s="11">
        <f aca="true" t="shared" si="15" ref="N52:O55">SUM(B52,H52)</f>
        <v>27</v>
      </c>
      <c r="O52" s="12">
        <f t="shared" si="15"/>
        <v>147</v>
      </c>
      <c r="P52" s="12">
        <f>SUM(N52:O52)</f>
        <v>174</v>
      </c>
      <c r="Q52" s="11">
        <f aca="true" t="shared" si="16" ref="Q52:R55">SUM(E52,K52)</f>
        <v>10</v>
      </c>
      <c r="R52" s="12">
        <f t="shared" si="16"/>
        <v>56</v>
      </c>
      <c r="S52" s="12">
        <f>SUM(Q52:R52)</f>
        <v>66</v>
      </c>
      <c r="U52"/>
      <c r="V52"/>
    </row>
    <row r="53" spans="1:22" ht="12.75">
      <c r="A53" s="2" t="s">
        <v>8</v>
      </c>
      <c r="B53" s="11">
        <v>25</v>
      </c>
      <c r="C53" s="12">
        <v>87</v>
      </c>
      <c r="D53" s="12">
        <f>SUM(B53:C53)</f>
        <v>112</v>
      </c>
      <c r="E53" s="11">
        <v>9</v>
      </c>
      <c r="F53" s="12">
        <v>41</v>
      </c>
      <c r="G53" s="12">
        <f>SUM(E53:F53)</f>
        <v>50</v>
      </c>
      <c r="H53" s="11">
        <v>5</v>
      </c>
      <c r="I53" s="12">
        <v>71</v>
      </c>
      <c r="J53" s="12">
        <f>SUM(H53:I53)</f>
        <v>76</v>
      </c>
      <c r="K53" s="11">
        <v>6</v>
      </c>
      <c r="L53" s="12">
        <v>27</v>
      </c>
      <c r="M53" s="12">
        <f>SUM(K53:L53)</f>
        <v>33</v>
      </c>
      <c r="N53" s="11">
        <f t="shared" si="15"/>
        <v>30</v>
      </c>
      <c r="O53" s="12">
        <f t="shared" si="15"/>
        <v>158</v>
      </c>
      <c r="P53" s="12">
        <f>SUM(N53:O53)</f>
        <v>188</v>
      </c>
      <c r="Q53" s="11">
        <f t="shared" si="16"/>
        <v>15</v>
      </c>
      <c r="R53" s="12">
        <f t="shared" si="16"/>
        <v>68</v>
      </c>
      <c r="S53" s="12">
        <f>SUM(Q53:R53)</f>
        <v>83</v>
      </c>
      <c r="U53"/>
      <c r="V53"/>
    </row>
    <row r="54" spans="1:22" ht="12.75">
      <c r="A54" s="2" t="s">
        <v>9</v>
      </c>
      <c r="B54" s="11">
        <v>12</v>
      </c>
      <c r="C54" s="12">
        <v>24</v>
      </c>
      <c r="D54" s="12">
        <f>SUM(B54:C54)</f>
        <v>36</v>
      </c>
      <c r="E54" s="13">
        <v>1</v>
      </c>
      <c r="F54" s="12">
        <v>11</v>
      </c>
      <c r="G54" s="12">
        <f>SUM(E54:F54)</f>
        <v>12</v>
      </c>
      <c r="H54" s="11">
        <v>0</v>
      </c>
      <c r="I54" s="12">
        <v>21</v>
      </c>
      <c r="J54" s="12">
        <f>SUM(H54:I54)</f>
        <v>21</v>
      </c>
      <c r="K54" s="11">
        <v>1</v>
      </c>
      <c r="L54" s="12">
        <v>10</v>
      </c>
      <c r="M54" s="12">
        <f>SUM(K54:L54)</f>
        <v>11</v>
      </c>
      <c r="N54" s="11">
        <f t="shared" si="15"/>
        <v>12</v>
      </c>
      <c r="O54" s="12">
        <f t="shared" si="15"/>
        <v>45</v>
      </c>
      <c r="P54" s="12">
        <f>SUM(N54:O54)</f>
        <v>57</v>
      </c>
      <c r="Q54" s="11">
        <f t="shared" si="16"/>
        <v>2</v>
      </c>
      <c r="R54" s="12">
        <f t="shared" si="16"/>
        <v>21</v>
      </c>
      <c r="S54" s="12">
        <f>SUM(Q54:R54)</f>
        <v>23</v>
      </c>
      <c r="U54"/>
      <c r="V54"/>
    </row>
    <row r="55" spans="1:22" ht="12.75">
      <c r="A55" s="2" t="s">
        <v>10</v>
      </c>
      <c r="B55" s="11">
        <v>2</v>
      </c>
      <c r="C55" s="12">
        <v>21</v>
      </c>
      <c r="D55" s="12">
        <f>SUM(B55:C55)</f>
        <v>23</v>
      </c>
      <c r="E55" s="11">
        <v>4</v>
      </c>
      <c r="F55" s="12">
        <v>15</v>
      </c>
      <c r="G55" s="12">
        <f>SUM(E55:F55)</f>
        <v>19</v>
      </c>
      <c r="H55" s="11">
        <v>8</v>
      </c>
      <c r="I55" s="12">
        <v>26</v>
      </c>
      <c r="J55" s="12">
        <f>SUM(H55:I55)</f>
        <v>34</v>
      </c>
      <c r="K55" s="11">
        <v>3</v>
      </c>
      <c r="L55" s="12">
        <v>14</v>
      </c>
      <c r="M55" s="12">
        <f>SUM(K55:L55)</f>
        <v>17</v>
      </c>
      <c r="N55" s="11">
        <f t="shared" si="15"/>
        <v>10</v>
      </c>
      <c r="O55" s="12">
        <f t="shared" si="15"/>
        <v>47</v>
      </c>
      <c r="P55" s="12">
        <f>SUM(N55:O55)</f>
        <v>57</v>
      </c>
      <c r="Q55" s="11">
        <f t="shared" si="16"/>
        <v>7</v>
      </c>
      <c r="R55" s="12">
        <f t="shared" si="16"/>
        <v>29</v>
      </c>
      <c r="S55" s="12">
        <f>SUM(Q55:R55)</f>
        <v>36</v>
      </c>
      <c r="U55"/>
      <c r="V55"/>
    </row>
    <row r="56" spans="1:22" ht="12.75">
      <c r="A56" s="19" t="s">
        <v>4</v>
      </c>
      <c r="B56" s="70">
        <f aca="true" t="shared" si="17" ref="B56:S56">SUM(B52:B55)</f>
        <v>59</v>
      </c>
      <c r="C56" s="71">
        <f t="shared" si="17"/>
        <v>230</v>
      </c>
      <c r="D56" s="71">
        <f t="shared" si="17"/>
        <v>289</v>
      </c>
      <c r="E56" s="70">
        <f t="shared" si="17"/>
        <v>22</v>
      </c>
      <c r="F56" s="71">
        <f t="shared" si="17"/>
        <v>96</v>
      </c>
      <c r="G56" s="71">
        <f t="shared" si="17"/>
        <v>118</v>
      </c>
      <c r="H56" s="70">
        <f t="shared" si="17"/>
        <v>20</v>
      </c>
      <c r="I56" s="71">
        <f t="shared" si="17"/>
        <v>167</v>
      </c>
      <c r="J56" s="71">
        <f t="shared" si="17"/>
        <v>187</v>
      </c>
      <c r="K56" s="70">
        <f t="shared" si="17"/>
        <v>12</v>
      </c>
      <c r="L56" s="71">
        <f t="shared" si="17"/>
        <v>78</v>
      </c>
      <c r="M56" s="71">
        <f t="shared" si="17"/>
        <v>90</v>
      </c>
      <c r="N56" s="70">
        <f t="shared" si="17"/>
        <v>79</v>
      </c>
      <c r="O56" s="71">
        <f t="shared" si="17"/>
        <v>397</v>
      </c>
      <c r="P56" s="71">
        <f t="shared" si="17"/>
        <v>476</v>
      </c>
      <c r="Q56" s="70">
        <f t="shared" si="17"/>
        <v>34</v>
      </c>
      <c r="R56" s="71">
        <f t="shared" si="17"/>
        <v>174</v>
      </c>
      <c r="S56" s="71">
        <f t="shared" si="17"/>
        <v>208</v>
      </c>
      <c r="U56"/>
      <c r="V56"/>
    </row>
    <row r="57" spans="1:22" ht="12.75">
      <c r="A57" s="2"/>
      <c r="B57" s="11"/>
      <c r="C57" s="12"/>
      <c r="D57" s="12"/>
      <c r="E57" s="11"/>
      <c r="F57" s="12"/>
      <c r="G57" s="12"/>
      <c r="H57" s="11"/>
      <c r="I57" s="12"/>
      <c r="J57" s="12"/>
      <c r="K57" s="11"/>
      <c r="L57" s="12"/>
      <c r="M57" s="12"/>
      <c r="N57" s="11"/>
      <c r="O57" s="12"/>
      <c r="P57" s="12"/>
      <c r="Q57" s="11"/>
      <c r="R57" s="12"/>
      <c r="S57" s="12"/>
      <c r="U57"/>
      <c r="V57"/>
    </row>
    <row r="58" spans="1:22" ht="12.75">
      <c r="A58" s="1" t="s">
        <v>46</v>
      </c>
      <c r="B58" s="11"/>
      <c r="C58" s="12"/>
      <c r="D58" s="12"/>
      <c r="E58" s="11"/>
      <c r="F58" s="12"/>
      <c r="G58" s="12"/>
      <c r="H58" s="11"/>
      <c r="I58" s="12"/>
      <c r="J58" s="12"/>
      <c r="K58" s="11"/>
      <c r="L58" s="12"/>
      <c r="M58" s="12"/>
      <c r="N58" s="11"/>
      <c r="O58" s="12"/>
      <c r="P58" s="12"/>
      <c r="Q58" s="11"/>
      <c r="R58" s="12"/>
      <c r="S58" s="12"/>
      <c r="U58"/>
      <c r="V58"/>
    </row>
    <row r="59" spans="1:22" ht="12.75">
      <c r="A59" s="2" t="s">
        <v>42</v>
      </c>
      <c r="B59" s="13">
        <v>1</v>
      </c>
      <c r="C59" s="18">
        <v>9</v>
      </c>
      <c r="D59" s="18">
        <f>SUM(B59:C59)</f>
        <v>10</v>
      </c>
      <c r="E59" s="11">
        <v>1</v>
      </c>
      <c r="F59" s="18">
        <v>6</v>
      </c>
      <c r="G59" s="12">
        <f>SUM(E59:F59)</f>
        <v>7</v>
      </c>
      <c r="H59" s="11">
        <v>0</v>
      </c>
      <c r="I59" s="12">
        <v>3</v>
      </c>
      <c r="J59" s="12">
        <f>SUM(H59:I59)</f>
        <v>3</v>
      </c>
      <c r="K59" s="11">
        <v>0</v>
      </c>
      <c r="L59" s="12">
        <v>1</v>
      </c>
      <c r="M59" s="12">
        <f>SUM(K59:L59)</f>
        <v>1</v>
      </c>
      <c r="N59" s="11">
        <f aca="true" t="shared" si="18" ref="N59:O62">SUM(B59,H59)</f>
        <v>1</v>
      </c>
      <c r="O59" s="12">
        <f t="shared" si="18"/>
        <v>12</v>
      </c>
      <c r="P59" s="12">
        <f>SUM(N59:O59)</f>
        <v>13</v>
      </c>
      <c r="Q59" s="11">
        <f aca="true" t="shared" si="19" ref="Q59:R62">SUM(E59,K59)</f>
        <v>1</v>
      </c>
      <c r="R59" s="12">
        <f t="shared" si="19"/>
        <v>7</v>
      </c>
      <c r="S59" s="12">
        <f>SUM(Q59:R59)</f>
        <v>8</v>
      </c>
      <c r="U59"/>
      <c r="V59"/>
    </row>
    <row r="60" spans="1:22" ht="12.75">
      <c r="A60" s="2" t="s">
        <v>8</v>
      </c>
      <c r="B60" s="11">
        <v>1</v>
      </c>
      <c r="C60" s="12">
        <v>4</v>
      </c>
      <c r="D60" s="12">
        <f>SUM(B60:C60)</f>
        <v>5</v>
      </c>
      <c r="E60" s="11">
        <v>0</v>
      </c>
      <c r="F60" s="12">
        <v>3</v>
      </c>
      <c r="G60" s="12">
        <f>SUM(E60:F60)</f>
        <v>3</v>
      </c>
      <c r="H60" s="11">
        <v>0</v>
      </c>
      <c r="I60" s="12">
        <v>5</v>
      </c>
      <c r="J60" s="12">
        <f>SUM(H60:I60)</f>
        <v>5</v>
      </c>
      <c r="K60" s="11">
        <v>0</v>
      </c>
      <c r="L60" s="12">
        <v>7</v>
      </c>
      <c r="M60" s="12">
        <f>SUM(K60:L60)</f>
        <v>7</v>
      </c>
      <c r="N60" s="11">
        <f t="shared" si="18"/>
        <v>1</v>
      </c>
      <c r="O60" s="12">
        <f t="shared" si="18"/>
        <v>9</v>
      </c>
      <c r="P60" s="12">
        <f>SUM(N60:O60)</f>
        <v>10</v>
      </c>
      <c r="Q60" s="11">
        <f t="shared" si="19"/>
        <v>0</v>
      </c>
      <c r="R60" s="12">
        <f t="shared" si="19"/>
        <v>10</v>
      </c>
      <c r="S60" s="12">
        <f>SUM(Q60:R60)</f>
        <v>10</v>
      </c>
      <c r="U60"/>
      <c r="V60"/>
    </row>
    <row r="61" spans="1:22" ht="12.75">
      <c r="A61" s="2" t="s">
        <v>9</v>
      </c>
      <c r="B61" s="11">
        <v>0</v>
      </c>
      <c r="C61" s="18">
        <v>2</v>
      </c>
      <c r="D61" s="12">
        <f>SUM(B61:C61)</f>
        <v>2</v>
      </c>
      <c r="E61" s="11">
        <v>0</v>
      </c>
      <c r="F61" s="18">
        <v>1</v>
      </c>
      <c r="G61" s="12">
        <f>SUM(E61:F61)</f>
        <v>1</v>
      </c>
      <c r="H61" s="11">
        <v>1</v>
      </c>
      <c r="I61" s="12">
        <v>2</v>
      </c>
      <c r="J61" s="12">
        <f>SUM(H61:I61)</f>
        <v>3</v>
      </c>
      <c r="K61" s="11">
        <v>0</v>
      </c>
      <c r="L61" s="12">
        <v>0</v>
      </c>
      <c r="M61" s="12">
        <f>SUM(K61:L61)</f>
        <v>0</v>
      </c>
      <c r="N61" s="11">
        <f t="shared" si="18"/>
        <v>1</v>
      </c>
      <c r="O61" s="12">
        <f t="shared" si="18"/>
        <v>4</v>
      </c>
      <c r="P61" s="12">
        <f>SUM(N61:O61)</f>
        <v>5</v>
      </c>
      <c r="Q61" s="11">
        <f t="shared" si="19"/>
        <v>0</v>
      </c>
      <c r="R61" s="12">
        <f t="shared" si="19"/>
        <v>1</v>
      </c>
      <c r="S61" s="12">
        <f>SUM(Q61:R61)</f>
        <v>1</v>
      </c>
      <c r="U61"/>
      <c r="V61"/>
    </row>
    <row r="62" spans="1:22" ht="12.75">
      <c r="A62" s="2" t="s">
        <v>10</v>
      </c>
      <c r="B62" s="11">
        <v>0</v>
      </c>
      <c r="C62" s="12">
        <v>3</v>
      </c>
      <c r="D62" s="12">
        <f>SUM(B62:C62)</f>
        <v>3</v>
      </c>
      <c r="E62" s="11">
        <v>1</v>
      </c>
      <c r="F62" s="18">
        <v>5</v>
      </c>
      <c r="G62" s="12">
        <f>SUM(E62:F62)</f>
        <v>6</v>
      </c>
      <c r="H62" s="11">
        <v>0</v>
      </c>
      <c r="I62" s="12">
        <v>3</v>
      </c>
      <c r="J62" s="12">
        <f>SUM(H62:I62)</f>
        <v>3</v>
      </c>
      <c r="K62" s="11">
        <v>0</v>
      </c>
      <c r="L62" s="12">
        <v>3</v>
      </c>
      <c r="M62" s="12">
        <f>SUM(K62:L62)</f>
        <v>3</v>
      </c>
      <c r="N62" s="11">
        <f t="shared" si="18"/>
        <v>0</v>
      </c>
      <c r="O62" s="12">
        <f t="shared" si="18"/>
        <v>6</v>
      </c>
      <c r="P62" s="12">
        <f>SUM(N62:O62)</f>
        <v>6</v>
      </c>
      <c r="Q62" s="11">
        <f t="shared" si="19"/>
        <v>1</v>
      </c>
      <c r="R62" s="12">
        <f t="shared" si="19"/>
        <v>8</v>
      </c>
      <c r="S62" s="12">
        <f>SUM(Q62:R62)</f>
        <v>9</v>
      </c>
      <c r="U62"/>
      <c r="V62"/>
    </row>
    <row r="63" spans="1:22" ht="12.75">
      <c r="A63" s="19" t="s">
        <v>4</v>
      </c>
      <c r="B63" s="70">
        <f aca="true" t="shared" si="20" ref="B63:S63">SUM(B59:B62)</f>
        <v>2</v>
      </c>
      <c r="C63" s="71">
        <f t="shared" si="20"/>
        <v>18</v>
      </c>
      <c r="D63" s="71">
        <f t="shared" si="20"/>
        <v>20</v>
      </c>
      <c r="E63" s="70">
        <f t="shared" si="20"/>
        <v>2</v>
      </c>
      <c r="F63" s="71">
        <f t="shared" si="20"/>
        <v>15</v>
      </c>
      <c r="G63" s="71">
        <f t="shared" si="20"/>
        <v>17</v>
      </c>
      <c r="H63" s="70">
        <f t="shared" si="20"/>
        <v>1</v>
      </c>
      <c r="I63" s="71">
        <f t="shared" si="20"/>
        <v>13</v>
      </c>
      <c r="J63" s="71">
        <f t="shared" si="20"/>
        <v>14</v>
      </c>
      <c r="K63" s="70">
        <f t="shared" si="20"/>
        <v>0</v>
      </c>
      <c r="L63" s="71">
        <f t="shared" si="20"/>
        <v>11</v>
      </c>
      <c r="M63" s="71">
        <f t="shared" si="20"/>
        <v>11</v>
      </c>
      <c r="N63" s="70">
        <f t="shared" si="20"/>
        <v>3</v>
      </c>
      <c r="O63" s="71">
        <f t="shared" si="20"/>
        <v>31</v>
      </c>
      <c r="P63" s="71">
        <f t="shared" si="20"/>
        <v>34</v>
      </c>
      <c r="Q63" s="70">
        <f t="shared" si="20"/>
        <v>2</v>
      </c>
      <c r="R63" s="71">
        <f t="shared" si="20"/>
        <v>26</v>
      </c>
      <c r="S63" s="71">
        <f t="shared" si="20"/>
        <v>28</v>
      </c>
      <c r="U63"/>
      <c r="V63"/>
    </row>
    <row r="64" spans="1:22" ht="12.75">
      <c r="A64" s="2"/>
      <c r="B64" s="11"/>
      <c r="C64" s="12"/>
      <c r="D64" s="12"/>
      <c r="E64" s="11"/>
      <c r="F64" s="12"/>
      <c r="G64" s="12"/>
      <c r="H64" s="11"/>
      <c r="I64" s="12"/>
      <c r="J64" s="12"/>
      <c r="K64" s="11"/>
      <c r="L64" s="12"/>
      <c r="M64" s="12"/>
      <c r="N64" s="11"/>
      <c r="O64" s="12"/>
      <c r="P64" s="12"/>
      <c r="Q64" s="11"/>
      <c r="R64" s="12"/>
      <c r="S64" s="12"/>
      <c r="U64"/>
      <c r="V64"/>
    </row>
    <row r="65" spans="1:22" ht="12.75">
      <c r="A65" s="1" t="s">
        <v>15</v>
      </c>
      <c r="B65" s="11"/>
      <c r="C65" s="12"/>
      <c r="D65" s="12"/>
      <c r="E65" s="11"/>
      <c r="F65" s="12"/>
      <c r="G65" s="12"/>
      <c r="H65" s="11"/>
      <c r="I65" s="12"/>
      <c r="J65" s="12"/>
      <c r="K65" s="11"/>
      <c r="L65" s="12"/>
      <c r="M65" s="12"/>
      <c r="N65" s="11"/>
      <c r="O65" s="12"/>
      <c r="P65" s="12"/>
      <c r="Q65" s="11"/>
      <c r="R65" s="12"/>
      <c r="S65" s="12"/>
      <c r="U65"/>
      <c r="V65"/>
    </row>
    <row r="66" spans="1:22" ht="12.75">
      <c r="A66" s="2" t="s">
        <v>42</v>
      </c>
      <c r="B66" s="231">
        <v>7</v>
      </c>
      <c r="C66" s="231">
        <v>5</v>
      </c>
      <c r="D66" s="12">
        <f>SUM(B66:C66)</f>
        <v>12</v>
      </c>
      <c r="E66" s="11">
        <v>0</v>
      </c>
      <c r="F66" s="12">
        <v>0</v>
      </c>
      <c r="G66" s="12">
        <f>SUM(E66:F66)</f>
        <v>0</v>
      </c>
      <c r="H66" s="11">
        <v>5</v>
      </c>
      <c r="I66" s="12">
        <v>9</v>
      </c>
      <c r="J66" s="12">
        <f>SUM(H66:I66)</f>
        <v>14</v>
      </c>
      <c r="K66" s="11">
        <v>3</v>
      </c>
      <c r="L66" s="12">
        <v>5</v>
      </c>
      <c r="M66" s="12">
        <f>SUM(K66:L66)</f>
        <v>8</v>
      </c>
      <c r="N66" s="11">
        <f aca="true" t="shared" si="21" ref="N66:O69">SUM(B66,H66)</f>
        <v>12</v>
      </c>
      <c r="O66" s="12">
        <f t="shared" si="21"/>
        <v>14</v>
      </c>
      <c r="P66" s="12">
        <f>SUM(N66:O66)</f>
        <v>26</v>
      </c>
      <c r="Q66" s="11">
        <f aca="true" t="shared" si="22" ref="Q66:R69">SUM(E66,K66)</f>
        <v>3</v>
      </c>
      <c r="R66" s="12">
        <f t="shared" si="22"/>
        <v>5</v>
      </c>
      <c r="S66" s="12">
        <f>SUM(Q66:R66)</f>
        <v>8</v>
      </c>
      <c r="U66"/>
      <c r="V66"/>
    </row>
    <row r="67" spans="1:22" ht="12.75">
      <c r="A67" s="2" t="s">
        <v>8</v>
      </c>
      <c r="B67" s="11">
        <v>0</v>
      </c>
      <c r="C67" s="11">
        <v>1</v>
      </c>
      <c r="D67" s="12">
        <f>SUM(B67:C67)</f>
        <v>1</v>
      </c>
      <c r="E67" s="11">
        <v>0</v>
      </c>
      <c r="F67" s="12">
        <v>0</v>
      </c>
      <c r="G67" s="12">
        <f>SUM(E67:F67)</f>
        <v>0</v>
      </c>
      <c r="H67" s="11">
        <v>1</v>
      </c>
      <c r="I67" s="12">
        <v>2</v>
      </c>
      <c r="J67" s="12">
        <f>SUM(H67:I67)</f>
        <v>3</v>
      </c>
      <c r="K67" s="11">
        <v>0</v>
      </c>
      <c r="L67" s="12">
        <v>4</v>
      </c>
      <c r="M67" s="12">
        <f>SUM(K67:L67)</f>
        <v>4</v>
      </c>
      <c r="N67" s="11">
        <f t="shared" si="21"/>
        <v>1</v>
      </c>
      <c r="O67" s="12">
        <f t="shared" si="21"/>
        <v>3</v>
      </c>
      <c r="P67" s="12">
        <f>SUM(N67:O67)</f>
        <v>4</v>
      </c>
      <c r="Q67" s="11">
        <f t="shared" si="22"/>
        <v>0</v>
      </c>
      <c r="R67" s="12">
        <f t="shared" si="22"/>
        <v>4</v>
      </c>
      <c r="S67" s="12">
        <f>SUM(Q67:R67)</f>
        <v>4</v>
      </c>
      <c r="U67"/>
      <c r="V67"/>
    </row>
    <row r="68" spans="1:22" ht="12.75">
      <c r="A68" s="2" t="s">
        <v>9</v>
      </c>
      <c r="B68" s="11">
        <v>0</v>
      </c>
      <c r="C68" s="12">
        <v>0</v>
      </c>
      <c r="D68" s="12">
        <f>SUM(B68:C68)</f>
        <v>0</v>
      </c>
      <c r="E68" s="13">
        <v>0</v>
      </c>
      <c r="F68" s="12">
        <v>0</v>
      </c>
      <c r="G68" s="12">
        <f>SUM(E68:F68)</f>
        <v>0</v>
      </c>
      <c r="H68" s="11">
        <v>0</v>
      </c>
      <c r="I68" s="12">
        <v>0</v>
      </c>
      <c r="J68" s="12">
        <f>SUM(H68:I68)</f>
        <v>0</v>
      </c>
      <c r="K68" s="11">
        <v>0</v>
      </c>
      <c r="L68" s="12">
        <v>0</v>
      </c>
      <c r="M68" s="12">
        <f>SUM(K68:L68)</f>
        <v>0</v>
      </c>
      <c r="N68" s="11">
        <f t="shared" si="21"/>
        <v>0</v>
      </c>
      <c r="O68" s="12">
        <f t="shared" si="21"/>
        <v>0</v>
      </c>
      <c r="P68" s="12">
        <f>SUM(N68:O68)</f>
        <v>0</v>
      </c>
      <c r="Q68" s="11">
        <f t="shared" si="22"/>
        <v>0</v>
      </c>
      <c r="R68" s="12">
        <f t="shared" si="22"/>
        <v>0</v>
      </c>
      <c r="S68" s="12">
        <f>SUM(Q68:R68)</f>
        <v>0</v>
      </c>
      <c r="U68"/>
      <c r="V68"/>
    </row>
    <row r="69" spans="1:22" ht="12.75">
      <c r="A69" s="2" t="s">
        <v>10</v>
      </c>
      <c r="B69" s="11">
        <v>18</v>
      </c>
      <c r="C69" s="12">
        <v>43</v>
      </c>
      <c r="D69" s="12">
        <f>SUM(B69:C69)</f>
        <v>61</v>
      </c>
      <c r="E69" s="230">
        <v>4</v>
      </c>
      <c r="F69" s="230">
        <v>4</v>
      </c>
      <c r="G69" s="12">
        <f>SUM(E69:F69)</f>
        <v>8</v>
      </c>
      <c r="H69" s="11">
        <v>17</v>
      </c>
      <c r="I69" s="12">
        <v>114</v>
      </c>
      <c r="J69" s="12">
        <f>SUM(H69:I69)</f>
        <v>131</v>
      </c>
      <c r="K69" s="11">
        <v>23</v>
      </c>
      <c r="L69" s="12">
        <v>63</v>
      </c>
      <c r="M69" s="12">
        <f>SUM(K69:L69)</f>
        <v>86</v>
      </c>
      <c r="N69" s="11">
        <f t="shared" si="21"/>
        <v>35</v>
      </c>
      <c r="O69" s="12">
        <f t="shared" si="21"/>
        <v>157</v>
      </c>
      <c r="P69" s="12">
        <f>SUM(N69:O69)</f>
        <v>192</v>
      </c>
      <c r="Q69" s="11">
        <f t="shared" si="22"/>
        <v>27</v>
      </c>
      <c r="R69" s="12">
        <f t="shared" si="22"/>
        <v>67</v>
      </c>
      <c r="S69" s="12">
        <f>SUM(Q69:R69)</f>
        <v>94</v>
      </c>
      <c r="U69"/>
      <c r="V69"/>
    </row>
    <row r="70" spans="1:22" ht="12.75">
      <c r="A70" s="19" t="s">
        <v>4</v>
      </c>
      <c r="B70" s="70">
        <f aca="true" t="shared" si="23" ref="B70:S70">SUM(B66:B69)</f>
        <v>25</v>
      </c>
      <c r="C70" s="71">
        <f t="shared" si="23"/>
        <v>49</v>
      </c>
      <c r="D70" s="71">
        <f t="shared" si="23"/>
        <v>74</v>
      </c>
      <c r="E70" s="70">
        <f t="shared" si="23"/>
        <v>4</v>
      </c>
      <c r="F70" s="71">
        <f t="shared" si="23"/>
        <v>4</v>
      </c>
      <c r="G70" s="71">
        <f t="shared" si="23"/>
        <v>8</v>
      </c>
      <c r="H70" s="70">
        <f t="shared" si="23"/>
        <v>23</v>
      </c>
      <c r="I70" s="71">
        <f t="shared" si="23"/>
        <v>125</v>
      </c>
      <c r="J70" s="71">
        <f t="shared" si="23"/>
        <v>148</v>
      </c>
      <c r="K70" s="70">
        <f t="shared" si="23"/>
        <v>26</v>
      </c>
      <c r="L70" s="71">
        <f t="shared" si="23"/>
        <v>72</v>
      </c>
      <c r="M70" s="71">
        <f t="shared" si="23"/>
        <v>98</v>
      </c>
      <c r="N70" s="70">
        <f t="shared" si="23"/>
        <v>48</v>
      </c>
      <c r="O70" s="71">
        <f t="shared" si="23"/>
        <v>174</v>
      </c>
      <c r="P70" s="71">
        <f t="shared" si="23"/>
        <v>222</v>
      </c>
      <c r="Q70" s="70">
        <f t="shared" si="23"/>
        <v>30</v>
      </c>
      <c r="R70" s="71">
        <f t="shared" si="23"/>
        <v>76</v>
      </c>
      <c r="S70" s="71">
        <f t="shared" si="23"/>
        <v>106</v>
      </c>
      <c r="U70"/>
      <c r="V70"/>
    </row>
    <row r="71" spans="1:22" ht="12.75">
      <c r="A71" s="2"/>
      <c r="B71" s="11"/>
      <c r="C71" s="12"/>
      <c r="D71" s="12"/>
      <c r="E71" s="11"/>
      <c r="F71" s="12"/>
      <c r="G71" s="12"/>
      <c r="H71" s="11"/>
      <c r="I71" s="12"/>
      <c r="J71" s="12"/>
      <c r="K71" s="11"/>
      <c r="L71" s="12"/>
      <c r="M71" s="12"/>
      <c r="N71" s="11"/>
      <c r="O71" s="12"/>
      <c r="P71" s="12"/>
      <c r="Q71" s="11"/>
      <c r="R71" s="12"/>
      <c r="S71" s="12"/>
      <c r="U71"/>
      <c r="V71"/>
    </row>
    <row r="72" spans="1:22" ht="12.75">
      <c r="A72" s="1" t="s">
        <v>122</v>
      </c>
      <c r="B72" s="11"/>
      <c r="C72" s="12"/>
      <c r="D72" s="12"/>
      <c r="E72" s="11"/>
      <c r="F72" s="12"/>
      <c r="G72" s="12"/>
      <c r="H72" s="11"/>
      <c r="I72" s="12"/>
      <c r="J72" s="12"/>
      <c r="K72" s="11"/>
      <c r="L72" s="12"/>
      <c r="M72" s="12"/>
      <c r="N72" s="11"/>
      <c r="O72" s="12"/>
      <c r="P72" s="12"/>
      <c r="Q72" s="11"/>
      <c r="R72" s="12"/>
      <c r="S72" s="12"/>
      <c r="U72"/>
      <c r="V72"/>
    </row>
    <row r="73" spans="1:22" ht="12.75">
      <c r="A73" s="2" t="s">
        <v>42</v>
      </c>
      <c r="B73" s="13">
        <v>248</v>
      </c>
      <c r="C73" s="18">
        <v>659</v>
      </c>
      <c r="D73" s="18">
        <f>SUM(B73:C73)</f>
        <v>907</v>
      </c>
      <c r="E73" s="11">
        <v>74</v>
      </c>
      <c r="F73" s="18">
        <v>326</v>
      </c>
      <c r="G73" s="12">
        <f>SUM(E73:F73)</f>
        <v>400</v>
      </c>
      <c r="H73" s="11">
        <v>78</v>
      </c>
      <c r="I73" s="12">
        <v>598</v>
      </c>
      <c r="J73" s="12">
        <f>SUM(H73:I73)</f>
        <v>676</v>
      </c>
      <c r="K73" s="11">
        <v>49</v>
      </c>
      <c r="L73" s="12">
        <v>373</v>
      </c>
      <c r="M73" s="12">
        <f>SUM(K73:L73)</f>
        <v>422</v>
      </c>
      <c r="N73" s="11">
        <f aca="true" t="shared" si="24" ref="N73:O77">SUM(B73,H73)</f>
        <v>326</v>
      </c>
      <c r="O73" s="12">
        <f t="shared" si="24"/>
        <v>1257</v>
      </c>
      <c r="P73" s="12">
        <f>SUM(N73:O73)</f>
        <v>1583</v>
      </c>
      <c r="Q73" s="11">
        <f aca="true" t="shared" si="25" ref="Q73:R77">SUM(E73,K73)</f>
        <v>123</v>
      </c>
      <c r="R73" s="12">
        <f t="shared" si="25"/>
        <v>699</v>
      </c>
      <c r="S73" s="12">
        <f>SUM(Q73:R73)</f>
        <v>822</v>
      </c>
      <c r="U73"/>
      <c r="V73"/>
    </row>
    <row r="74" spans="1:22" ht="12.75">
      <c r="A74" s="2" t="s">
        <v>8</v>
      </c>
      <c r="B74" s="11">
        <v>297</v>
      </c>
      <c r="C74" s="12">
        <v>537</v>
      </c>
      <c r="D74" s="12">
        <f>SUM(B74:C74)</f>
        <v>834</v>
      </c>
      <c r="E74" s="11">
        <v>52</v>
      </c>
      <c r="F74" s="12">
        <v>243</v>
      </c>
      <c r="G74" s="12">
        <f>SUM(E74:F74)</f>
        <v>295</v>
      </c>
      <c r="H74" s="11">
        <v>105</v>
      </c>
      <c r="I74" s="12">
        <v>1261</v>
      </c>
      <c r="J74" s="12">
        <f>SUM(H74:I74)</f>
        <v>1366</v>
      </c>
      <c r="K74" s="11">
        <v>78</v>
      </c>
      <c r="L74" s="12">
        <v>508</v>
      </c>
      <c r="M74" s="12">
        <f>SUM(K74:L74)</f>
        <v>586</v>
      </c>
      <c r="N74" s="11">
        <f t="shared" si="24"/>
        <v>402</v>
      </c>
      <c r="O74" s="12">
        <f t="shared" si="24"/>
        <v>1798</v>
      </c>
      <c r="P74" s="12">
        <f>SUM(N74:O74)</f>
        <v>2200</v>
      </c>
      <c r="Q74" s="11">
        <f t="shared" si="25"/>
        <v>130</v>
      </c>
      <c r="R74" s="12">
        <f t="shared" si="25"/>
        <v>751</v>
      </c>
      <c r="S74" s="12">
        <f>SUM(Q74:R74)</f>
        <v>881</v>
      </c>
      <c r="U74"/>
      <c r="V74"/>
    </row>
    <row r="75" spans="1:22" ht="12.75">
      <c r="A75" s="2" t="s">
        <v>9</v>
      </c>
      <c r="B75" s="11">
        <v>8</v>
      </c>
      <c r="C75" s="18">
        <v>15</v>
      </c>
      <c r="D75" s="12">
        <f>SUM(B75:C75)</f>
        <v>23</v>
      </c>
      <c r="E75" s="11">
        <v>4</v>
      </c>
      <c r="F75" s="18">
        <v>7</v>
      </c>
      <c r="G75" s="12">
        <f>SUM(E75:F75)</f>
        <v>11</v>
      </c>
      <c r="H75" s="11">
        <v>1</v>
      </c>
      <c r="I75" s="12">
        <v>31</v>
      </c>
      <c r="J75" s="12">
        <f>SUM(H75:I75)</f>
        <v>32</v>
      </c>
      <c r="K75" s="11">
        <v>2</v>
      </c>
      <c r="L75" s="12">
        <v>14</v>
      </c>
      <c r="M75" s="12">
        <f>SUM(K75:L75)</f>
        <v>16</v>
      </c>
      <c r="N75" s="11">
        <f t="shared" si="24"/>
        <v>9</v>
      </c>
      <c r="O75" s="12">
        <f t="shared" si="24"/>
        <v>46</v>
      </c>
      <c r="P75" s="12">
        <f>SUM(N75:O75)</f>
        <v>55</v>
      </c>
      <c r="Q75" s="11">
        <f t="shared" si="25"/>
        <v>6</v>
      </c>
      <c r="R75" s="12">
        <f t="shared" si="25"/>
        <v>21</v>
      </c>
      <c r="S75" s="12">
        <f>SUM(Q75:R75)</f>
        <v>27</v>
      </c>
      <c r="U75"/>
      <c r="V75"/>
    </row>
    <row r="76" spans="1:22" ht="12.75">
      <c r="A76" s="2" t="s">
        <v>10</v>
      </c>
      <c r="B76" s="11">
        <v>36</v>
      </c>
      <c r="C76" s="12">
        <v>43</v>
      </c>
      <c r="D76" s="12">
        <f>SUM(B76:C76)</f>
        <v>79</v>
      </c>
      <c r="E76" s="11">
        <v>11</v>
      </c>
      <c r="F76" s="18">
        <v>39</v>
      </c>
      <c r="G76" s="12">
        <f>SUM(E76:F76)</f>
        <v>50</v>
      </c>
      <c r="H76" s="11">
        <v>15</v>
      </c>
      <c r="I76" s="12">
        <v>110</v>
      </c>
      <c r="J76" s="12">
        <f>SUM(H76:I76)</f>
        <v>125</v>
      </c>
      <c r="K76" s="11">
        <v>3</v>
      </c>
      <c r="L76" s="12">
        <v>74</v>
      </c>
      <c r="M76" s="12">
        <f>SUM(K76:L76)</f>
        <v>77</v>
      </c>
      <c r="N76" s="11">
        <f t="shared" si="24"/>
        <v>51</v>
      </c>
      <c r="O76" s="12">
        <f t="shared" si="24"/>
        <v>153</v>
      </c>
      <c r="P76" s="12">
        <f>SUM(N76:O76)</f>
        <v>204</v>
      </c>
      <c r="Q76" s="11">
        <f t="shared" si="25"/>
        <v>14</v>
      </c>
      <c r="R76" s="12">
        <f t="shared" si="25"/>
        <v>113</v>
      </c>
      <c r="S76" s="12">
        <f>SUM(Q76:R76)</f>
        <v>127</v>
      </c>
      <c r="U76"/>
      <c r="V76"/>
    </row>
    <row r="77" spans="1:22" ht="12.75">
      <c r="A77" s="2" t="s">
        <v>16</v>
      </c>
      <c r="B77" s="11">
        <v>78</v>
      </c>
      <c r="C77" s="12">
        <v>77</v>
      </c>
      <c r="D77" s="12">
        <f>SUM(B77:C77)</f>
        <v>155</v>
      </c>
      <c r="E77" s="11">
        <v>50</v>
      </c>
      <c r="F77" s="18">
        <v>40</v>
      </c>
      <c r="G77" s="12">
        <f>SUM(E77:F77)</f>
        <v>90</v>
      </c>
      <c r="H77" s="11">
        <v>5</v>
      </c>
      <c r="I77" s="12">
        <v>6</v>
      </c>
      <c r="J77" s="12">
        <f>SUM(H77:I77)</f>
        <v>11</v>
      </c>
      <c r="K77" s="11">
        <v>4</v>
      </c>
      <c r="L77" s="12">
        <v>10</v>
      </c>
      <c r="M77" s="12">
        <f>SUM(K77:L77)</f>
        <v>14</v>
      </c>
      <c r="N77" s="11">
        <f t="shared" si="24"/>
        <v>83</v>
      </c>
      <c r="O77" s="12">
        <f t="shared" si="24"/>
        <v>83</v>
      </c>
      <c r="P77" s="12">
        <f>SUM(N77:O77)</f>
        <v>166</v>
      </c>
      <c r="Q77" s="11">
        <f t="shared" si="25"/>
        <v>54</v>
      </c>
      <c r="R77" s="12">
        <f t="shared" si="25"/>
        <v>50</v>
      </c>
      <c r="S77" s="12">
        <f>SUM(Q77:R77)</f>
        <v>104</v>
      </c>
      <c r="U77"/>
      <c r="V77"/>
    </row>
    <row r="78" spans="1:22" ht="12.75">
      <c r="A78" s="19" t="s">
        <v>4</v>
      </c>
      <c r="B78" s="70">
        <f>SUM(B73:B77)</f>
        <v>667</v>
      </c>
      <c r="C78" s="71">
        <f aca="true" t="shared" si="26" ref="C78:S78">SUM(C73:C77)</f>
        <v>1331</v>
      </c>
      <c r="D78" s="71">
        <f t="shared" si="26"/>
        <v>1998</v>
      </c>
      <c r="E78" s="70">
        <f t="shared" si="26"/>
        <v>191</v>
      </c>
      <c r="F78" s="71">
        <f t="shared" si="26"/>
        <v>655</v>
      </c>
      <c r="G78" s="71">
        <f t="shared" si="26"/>
        <v>846</v>
      </c>
      <c r="H78" s="70">
        <f t="shared" si="26"/>
        <v>204</v>
      </c>
      <c r="I78" s="71">
        <f t="shared" si="26"/>
        <v>2006</v>
      </c>
      <c r="J78" s="71">
        <f t="shared" si="26"/>
        <v>2210</v>
      </c>
      <c r="K78" s="70">
        <f t="shared" si="26"/>
        <v>136</v>
      </c>
      <c r="L78" s="71">
        <f t="shared" si="26"/>
        <v>979</v>
      </c>
      <c r="M78" s="71">
        <f t="shared" si="26"/>
        <v>1115</v>
      </c>
      <c r="N78" s="70">
        <f t="shared" si="26"/>
        <v>871</v>
      </c>
      <c r="O78" s="71">
        <f t="shared" si="26"/>
        <v>3337</v>
      </c>
      <c r="P78" s="71">
        <f t="shared" si="26"/>
        <v>4208</v>
      </c>
      <c r="Q78" s="70">
        <f t="shared" si="26"/>
        <v>327</v>
      </c>
      <c r="R78" s="71">
        <f t="shared" si="26"/>
        <v>1634</v>
      </c>
      <c r="S78" s="71">
        <f t="shared" si="26"/>
        <v>1961</v>
      </c>
      <c r="U78"/>
      <c r="V78"/>
    </row>
    <row r="79" spans="1:22" ht="12.75">
      <c r="A79" s="19"/>
      <c r="B79" s="23"/>
      <c r="C79" s="24"/>
      <c r="D79" s="24"/>
      <c r="E79" s="23"/>
      <c r="F79" s="24"/>
      <c r="G79" s="24"/>
      <c r="H79" s="23"/>
      <c r="I79" s="24"/>
      <c r="J79" s="24"/>
      <c r="K79" s="23"/>
      <c r="L79" s="24"/>
      <c r="M79" s="24"/>
      <c r="N79" s="23"/>
      <c r="O79" s="24"/>
      <c r="P79" s="24"/>
      <c r="Q79" s="23"/>
      <c r="R79" s="24"/>
      <c r="S79" s="24"/>
      <c r="U79"/>
      <c r="V79"/>
    </row>
    <row r="80" spans="1:22" s="93" customFormat="1" ht="13.5" customHeight="1">
      <c r="A80" s="198" t="s">
        <v>62</v>
      </c>
      <c r="B80" s="84"/>
      <c r="C80" s="199"/>
      <c r="D80" s="199"/>
      <c r="E80" s="84"/>
      <c r="F80" s="199"/>
      <c r="G80" s="199"/>
      <c r="H80" s="84"/>
      <c r="I80" s="199"/>
      <c r="J80" s="199"/>
      <c r="K80" s="84"/>
      <c r="L80" s="199"/>
      <c r="M80" s="199"/>
      <c r="N80" s="84"/>
      <c r="O80" s="199"/>
      <c r="P80" s="199"/>
      <c r="Q80" s="84"/>
      <c r="R80" s="199"/>
      <c r="S80" s="199"/>
      <c r="U80"/>
      <c r="V80"/>
    </row>
    <row r="81" spans="1:22" s="93" customFormat="1" ht="26.25">
      <c r="A81" s="205" t="s">
        <v>63</v>
      </c>
      <c r="B81" s="91">
        <f>SUM(B78,B70,B63,B56,B46,B43,B36,B29,B22,B15,B49)</f>
        <v>2604</v>
      </c>
      <c r="C81" s="92">
        <f aca="true" t="shared" si="27" ref="C81:S81">SUM(C78,C70,C63,C56,C46,C43,C36,C29,C22,C15,C49)</f>
        <v>6748</v>
      </c>
      <c r="D81" s="161">
        <f t="shared" si="27"/>
        <v>9352</v>
      </c>
      <c r="E81" s="91">
        <f t="shared" si="27"/>
        <v>959</v>
      </c>
      <c r="F81" s="92">
        <f t="shared" si="27"/>
        <v>2768</v>
      </c>
      <c r="G81" s="161">
        <f t="shared" si="27"/>
        <v>3727</v>
      </c>
      <c r="H81" s="91">
        <f t="shared" si="27"/>
        <v>872</v>
      </c>
      <c r="I81" s="92">
        <f t="shared" si="27"/>
        <v>9161</v>
      </c>
      <c r="J81" s="161">
        <f t="shared" si="27"/>
        <v>10033</v>
      </c>
      <c r="K81" s="91">
        <f t="shared" si="27"/>
        <v>652</v>
      </c>
      <c r="L81" s="92">
        <f t="shared" si="27"/>
        <v>4285</v>
      </c>
      <c r="M81" s="161">
        <f t="shared" si="27"/>
        <v>4937</v>
      </c>
      <c r="N81" s="91">
        <f t="shared" si="27"/>
        <v>3476</v>
      </c>
      <c r="O81" s="92">
        <f t="shared" si="27"/>
        <v>15909</v>
      </c>
      <c r="P81" s="161">
        <f t="shared" si="27"/>
        <v>19385</v>
      </c>
      <c r="Q81" s="91">
        <f t="shared" si="27"/>
        <v>1611</v>
      </c>
      <c r="R81" s="92">
        <f t="shared" si="27"/>
        <v>7053</v>
      </c>
      <c r="S81" s="92">
        <f t="shared" si="27"/>
        <v>8664</v>
      </c>
      <c r="U81"/>
      <c r="V81"/>
    </row>
    <row r="82" spans="2:19" ht="12.75">
      <c r="B82" s="12"/>
      <c r="C82" s="12"/>
      <c r="D82" s="12"/>
      <c r="E82" s="12"/>
      <c r="F82" s="12"/>
      <c r="G82" s="12"/>
      <c r="H82" s="12"/>
      <c r="I82" s="12"/>
      <c r="J82" s="12"/>
      <c r="K82" s="12"/>
      <c r="L82" s="12"/>
      <c r="M82" s="12"/>
      <c r="N82" s="12"/>
      <c r="O82" s="12"/>
      <c r="P82" s="12"/>
      <c r="Q82" s="12"/>
      <c r="R82" s="12"/>
      <c r="S82" s="12"/>
    </row>
    <row r="83" spans="1:19" ht="12.75">
      <c r="A83" s="4" t="s">
        <v>121</v>
      </c>
      <c r="B83" s="12"/>
      <c r="C83" s="12"/>
      <c r="D83" s="12"/>
      <c r="E83" s="12"/>
      <c r="F83" s="12"/>
      <c r="G83" s="12"/>
      <c r="H83" s="12"/>
      <c r="I83" s="12"/>
      <c r="J83" s="12"/>
      <c r="K83" s="12"/>
      <c r="L83" s="12"/>
      <c r="M83" s="12"/>
      <c r="N83" s="12"/>
      <c r="O83" s="12"/>
      <c r="P83" s="12"/>
      <c r="Q83" s="12"/>
      <c r="R83" s="12"/>
      <c r="S83" s="12"/>
    </row>
    <row r="84" spans="1:19" ht="12.75">
      <c r="A84" s="211"/>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sheetData>
  <sheetProtection/>
  <printOptions horizontalCentered="1"/>
  <pageMargins left="0.1968503937007874" right="0.1968503937007874" top="0.5905511811023623" bottom="0.7874015748031497" header="0.5118110236220472" footer="0.5118110236220472"/>
  <pageSetup fitToHeight="2" horizontalDpi="1200" verticalDpi="1200" orientation="landscape" paperSize="9" scale="75" r:id="rId1"/>
  <headerFooter alignWithMargins="0">
    <oddFooter>&amp;R&amp;A</oddFooter>
  </headerFooter>
  <rowBreaks count="1" manualBreakCount="1">
    <brk id="50" max="18" man="1"/>
  </rowBreaks>
</worksheet>
</file>

<file path=xl/worksheets/sheet13.xml><?xml version="1.0" encoding="utf-8"?>
<worksheet xmlns="http://schemas.openxmlformats.org/spreadsheetml/2006/main" xmlns:r="http://schemas.openxmlformats.org/officeDocument/2006/relationships">
  <sheetPr>
    <tabColor theme="2"/>
    <pageSetUpPr fitToPage="1"/>
  </sheetPr>
  <dimension ref="A1:V105"/>
  <sheetViews>
    <sheetView zoomScalePageLayoutView="0" workbookViewId="0" topLeftCell="A1">
      <selection activeCell="A77" sqref="A77"/>
    </sheetView>
  </sheetViews>
  <sheetFormatPr defaultColWidth="9.28125" defaultRowHeight="12.75"/>
  <cols>
    <col min="1" max="1" width="27.421875" style="4" customWidth="1"/>
    <col min="2" max="19" width="8.28125" style="4" customWidth="1"/>
    <col min="20" max="16384" width="9.28125" style="4" customWidth="1"/>
  </cols>
  <sheetData>
    <row r="1" spans="1:19" ht="12.75">
      <c r="A1" s="129" t="s">
        <v>101</v>
      </c>
      <c r="B1" s="2"/>
      <c r="C1" s="2"/>
      <c r="D1" s="2"/>
      <c r="E1" s="3"/>
      <c r="F1" s="2"/>
      <c r="G1" s="2"/>
      <c r="H1" s="2"/>
      <c r="I1" s="2"/>
      <c r="J1" s="2"/>
      <c r="K1" s="2"/>
      <c r="L1" s="2"/>
      <c r="M1" s="2"/>
      <c r="N1" s="2"/>
      <c r="O1" s="2"/>
      <c r="P1" s="2"/>
      <c r="Q1" s="2"/>
      <c r="R1" s="2"/>
      <c r="S1" s="2"/>
    </row>
    <row r="2" spans="1:19" ht="12.75">
      <c r="A2" s="5" t="s">
        <v>44</v>
      </c>
      <c r="B2" s="6"/>
      <c r="C2" s="6"/>
      <c r="D2" s="5"/>
      <c r="E2" s="128"/>
      <c r="F2" s="6"/>
      <c r="G2" s="7"/>
      <c r="H2" s="6"/>
      <c r="I2" s="7"/>
      <c r="J2" s="6"/>
      <c r="K2" s="6"/>
      <c r="L2" s="6"/>
      <c r="M2" s="6"/>
      <c r="N2" s="6"/>
      <c r="O2" s="6"/>
      <c r="P2" s="6"/>
      <c r="Q2" s="6"/>
      <c r="R2" s="6"/>
      <c r="S2" s="6"/>
    </row>
    <row r="3" spans="1:19" ht="12.75">
      <c r="A3" s="5"/>
      <c r="B3" s="6"/>
      <c r="C3" s="6"/>
      <c r="D3" s="6"/>
      <c r="E3" s="128"/>
      <c r="F3" s="5"/>
      <c r="G3" s="7"/>
      <c r="H3" s="6"/>
      <c r="I3" s="7"/>
      <c r="J3" s="6"/>
      <c r="K3" s="6"/>
      <c r="L3" s="6"/>
      <c r="M3" s="6"/>
      <c r="N3" s="6"/>
      <c r="O3" s="6"/>
      <c r="P3" s="6"/>
      <c r="Q3" s="6"/>
      <c r="R3" s="6"/>
      <c r="S3" s="6"/>
    </row>
    <row r="4" spans="1:19" ht="12.75">
      <c r="A4" s="5" t="s">
        <v>64</v>
      </c>
      <c r="B4" s="6"/>
      <c r="C4" s="6"/>
      <c r="D4" s="6"/>
      <c r="E4" s="128"/>
      <c r="F4" s="5"/>
      <c r="G4" s="7"/>
      <c r="H4" s="6"/>
      <c r="I4" s="7"/>
      <c r="J4" s="6"/>
      <c r="K4" s="6"/>
      <c r="L4" s="6"/>
      <c r="M4" s="6"/>
      <c r="N4" s="6"/>
      <c r="O4" s="6"/>
      <c r="P4" s="6"/>
      <c r="Q4" s="6"/>
      <c r="R4" s="6"/>
      <c r="S4" s="6"/>
    </row>
    <row r="5" spans="1:19" ht="9" customHeight="1" thickBot="1">
      <c r="A5" s="2"/>
      <c r="B5" s="2"/>
      <c r="C5" s="2"/>
      <c r="D5" s="2"/>
      <c r="E5" s="3"/>
      <c r="F5" s="2"/>
      <c r="G5" s="2"/>
      <c r="H5" s="2"/>
      <c r="I5" s="2"/>
      <c r="J5" s="2"/>
      <c r="K5" s="2"/>
      <c r="L5" s="2"/>
      <c r="M5" s="2"/>
      <c r="N5" s="2"/>
      <c r="O5" s="2"/>
      <c r="P5" s="2"/>
      <c r="Q5" s="2"/>
      <c r="R5" s="2"/>
      <c r="S5" s="2"/>
    </row>
    <row r="6" spans="1:19" ht="12.75">
      <c r="A6" s="8"/>
      <c r="B6" s="152" t="s">
        <v>36</v>
      </c>
      <c r="C6" s="153"/>
      <c r="D6" s="153"/>
      <c r="E6" s="153"/>
      <c r="F6" s="153"/>
      <c r="G6" s="153"/>
      <c r="H6" s="152" t="s">
        <v>37</v>
      </c>
      <c r="I6" s="153"/>
      <c r="J6" s="153"/>
      <c r="K6" s="153"/>
      <c r="L6" s="153"/>
      <c r="M6" s="153"/>
      <c r="N6" s="152" t="s">
        <v>4</v>
      </c>
      <c r="O6" s="153"/>
      <c r="P6" s="153"/>
      <c r="Q6" s="153"/>
      <c r="R6" s="153"/>
      <c r="S6" s="153"/>
    </row>
    <row r="7" spans="1:19" ht="12.75">
      <c r="A7" s="3"/>
      <c r="B7" s="154" t="s">
        <v>24</v>
      </c>
      <c r="C7" s="155"/>
      <c r="D7" s="155"/>
      <c r="E7" s="154" t="s">
        <v>25</v>
      </c>
      <c r="F7" s="155"/>
      <c r="G7" s="155"/>
      <c r="H7" s="154" t="s">
        <v>24</v>
      </c>
      <c r="I7" s="155"/>
      <c r="J7" s="155"/>
      <c r="K7" s="154" t="s">
        <v>25</v>
      </c>
      <c r="L7" s="155"/>
      <c r="M7" s="155"/>
      <c r="N7" s="154" t="s">
        <v>24</v>
      </c>
      <c r="O7" s="155"/>
      <c r="P7" s="155"/>
      <c r="Q7" s="154" t="s">
        <v>25</v>
      </c>
      <c r="R7" s="155"/>
      <c r="S7" s="155"/>
    </row>
    <row r="8" spans="1:19" s="156" customFormat="1" ht="12.75">
      <c r="A8" s="64"/>
      <c r="B8" s="181" t="s">
        <v>5</v>
      </c>
      <c r="C8" s="182" t="s">
        <v>6</v>
      </c>
      <c r="D8" s="182" t="s">
        <v>4</v>
      </c>
      <c r="E8" s="181" t="s">
        <v>5</v>
      </c>
      <c r="F8" s="182" t="s">
        <v>6</v>
      </c>
      <c r="G8" s="182" t="s">
        <v>4</v>
      </c>
      <c r="H8" s="181" t="s">
        <v>5</v>
      </c>
      <c r="I8" s="182" t="s">
        <v>6</v>
      </c>
      <c r="J8" s="182" t="s">
        <v>4</v>
      </c>
      <c r="K8" s="181" t="s">
        <v>5</v>
      </c>
      <c r="L8" s="182" t="s">
        <v>6</v>
      </c>
      <c r="M8" s="182" t="s">
        <v>4</v>
      </c>
      <c r="N8" s="181" t="s">
        <v>5</v>
      </c>
      <c r="O8" s="182" t="s">
        <v>6</v>
      </c>
      <c r="P8" s="182" t="s">
        <v>4</v>
      </c>
      <c r="Q8" s="181" t="s">
        <v>5</v>
      </c>
      <c r="R8" s="182" t="s">
        <v>6</v>
      </c>
      <c r="S8" s="182" t="s">
        <v>4</v>
      </c>
    </row>
    <row r="9" spans="1:19" ht="6" customHeight="1">
      <c r="A9" s="2"/>
      <c r="B9" s="11"/>
      <c r="C9" s="12"/>
      <c r="D9" s="12"/>
      <c r="E9" s="11"/>
      <c r="F9" s="12"/>
      <c r="G9" s="12"/>
      <c r="H9" s="11"/>
      <c r="I9" s="12"/>
      <c r="J9" s="12"/>
      <c r="K9" s="11"/>
      <c r="L9" s="12"/>
      <c r="M9" s="12"/>
      <c r="N9" s="11"/>
      <c r="O9" s="12"/>
      <c r="P9" s="12"/>
      <c r="Q9" s="11"/>
      <c r="R9" s="12"/>
      <c r="S9" s="12"/>
    </row>
    <row r="10" spans="1:19" ht="13.5" customHeight="1">
      <c r="A10" s="1" t="s">
        <v>7</v>
      </c>
      <c r="B10" s="11"/>
      <c r="C10" s="12"/>
      <c r="D10" s="12"/>
      <c r="E10" s="11"/>
      <c r="F10" s="12"/>
      <c r="G10" s="12"/>
      <c r="H10" s="11"/>
      <c r="I10" s="12"/>
      <c r="J10" s="12"/>
      <c r="K10" s="11"/>
      <c r="L10" s="12"/>
      <c r="M10" s="12"/>
      <c r="N10" s="11"/>
      <c r="O10" s="12"/>
      <c r="P10" s="12"/>
      <c r="Q10" s="11"/>
      <c r="R10" s="12"/>
      <c r="S10" s="12"/>
    </row>
    <row r="11" spans="1:22" s="97" customFormat="1" ht="12" customHeight="1">
      <c r="A11" s="95" t="s">
        <v>49</v>
      </c>
      <c r="B11" s="109">
        <v>93</v>
      </c>
      <c r="C11" s="110">
        <v>404</v>
      </c>
      <c r="D11" s="110">
        <f>SUM(B11:C11)</f>
        <v>497</v>
      </c>
      <c r="E11" s="109">
        <v>71</v>
      </c>
      <c r="F11" s="110">
        <v>176</v>
      </c>
      <c r="G11" s="110">
        <f>SUM(E11:F11)</f>
        <v>247</v>
      </c>
      <c r="H11" s="109">
        <v>228</v>
      </c>
      <c r="I11" s="110">
        <v>3079</v>
      </c>
      <c r="J11" s="110">
        <f>SUM(H11:I11)</f>
        <v>3307</v>
      </c>
      <c r="K11" s="111">
        <v>247</v>
      </c>
      <c r="L11" s="110">
        <v>1662</v>
      </c>
      <c r="M11" s="110">
        <f>SUM(K11:L11)</f>
        <v>1909</v>
      </c>
      <c r="N11" s="109">
        <f aca="true" t="shared" si="0" ref="N11:S11">SUM(B11,H11)</f>
        <v>321</v>
      </c>
      <c r="O11" s="110">
        <f t="shared" si="0"/>
        <v>3483</v>
      </c>
      <c r="P11" s="110">
        <f t="shared" si="0"/>
        <v>3804</v>
      </c>
      <c r="Q11" s="109">
        <f t="shared" si="0"/>
        <v>318</v>
      </c>
      <c r="R11" s="110">
        <f t="shared" si="0"/>
        <v>1838</v>
      </c>
      <c r="S11" s="110">
        <f t="shared" si="0"/>
        <v>2156</v>
      </c>
      <c r="U11"/>
      <c r="V11"/>
    </row>
    <row r="12" spans="1:22" s="97" customFormat="1" ht="12" customHeight="1">
      <c r="A12" s="227" t="s">
        <v>71</v>
      </c>
      <c r="B12" s="109">
        <v>80</v>
      </c>
      <c r="C12" s="110">
        <v>473</v>
      </c>
      <c r="D12" s="110">
        <f>SUM(B12:C12)</f>
        <v>553</v>
      </c>
      <c r="E12" s="109">
        <v>83</v>
      </c>
      <c r="F12" s="110">
        <v>167</v>
      </c>
      <c r="G12" s="110">
        <f>SUM(E12:F12)</f>
        <v>250</v>
      </c>
      <c r="H12" s="109">
        <v>257</v>
      </c>
      <c r="I12" s="110">
        <v>3348</v>
      </c>
      <c r="J12" s="110">
        <f>SUM(H12:I12)</f>
        <v>3605</v>
      </c>
      <c r="K12" s="111">
        <v>267</v>
      </c>
      <c r="L12" s="110">
        <v>1535</v>
      </c>
      <c r="M12" s="110">
        <f>SUM(K12:L12)</f>
        <v>1802</v>
      </c>
      <c r="N12" s="109">
        <f aca="true" t="shared" si="1" ref="N12:S12">SUM(B12,H12)</f>
        <v>337</v>
      </c>
      <c r="O12" s="110">
        <f t="shared" si="1"/>
        <v>3821</v>
      </c>
      <c r="P12" s="110">
        <f t="shared" si="1"/>
        <v>4158</v>
      </c>
      <c r="Q12" s="109">
        <f t="shared" si="1"/>
        <v>350</v>
      </c>
      <c r="R12" s="110">
        <f t="shared" si="1"/>
        <v>1702</v>
      </c>
      <c r="S12" s="110">
        <f t="shared" si="1"/>
        <v>2052</v>
      </c>
      <c r="U12"/>
      <c r="V12"/>
    </row>
    <row r="13" spans="1:22" s="97" customFormat="1" ht="12" customHeight="1">
      <c r="A13" s="95" t="s">
        <v>86</v>
      </c>
      <c r="B13" s="109">
        <v>227</v>
      </c>
      <c r="C13" s="110">
        <v>1196</v>
      </c>
      <c r="D13" s="110">
        <f>SUM(B13:C13)</f>
        <v>1423</v>
      </c>
      <c r="E13" s="109">
        <v>111</v>
      </c>
      <c r="F13" s="110">
        <v>396</v>
      </c>
      <c r="G13" s="110">
        <f>SUM(E13:F13)</f>
        <v>507</v>
      </c>
      <c r="H13" s="109">
        <v>140</v>
      </c>
      <c r="I13" s="110">
        <v>2840</v>
      </c>
      <c r="J13" s="110">
        <f>SUM(H13:I13)</f>
        <v>2980</v>
      </c>
      <c r="K13" s="111">
        <v>241</v>
      </c>
      <c r="L13" s="110">
        <v>1498</v>
      </c>
      <c r="M13" s="110">
        <f>SUM(K13:L13)</f>
        <v>1739</v>
      </c>
      <c r="N13" s="109">
        <f aca="true" t="shared" si="2" ref="N13:S13">SUM(B13,H13)</f>
        <v>367</v>
      </c>
      <c r="O13" s="110">
        <f t="shared" si="2"/>
        <v>4036</v>
      </c>
      <c r="P13" s="110">
        <f t="shared" si="2"/>
        <v>4403</v>
      </c>
      <c r="Q13" s="109">
        <f t="shared" si="2"/>
        <v>352</v>
      </c>
      <c r="R13" s="110">
        <f t="shared" si="2"/>
        <v>1894</v>
      </c>
      <c r="S13" s="110">
        <f t="shared" si="2"/>
        <v>2246</v>
      </c>
      <c r="U13"/>
      <c r="V13"/>
    </row>
    <row r="14" spans="1:22" s="97" customFormat="1" ht="12" customHeight="1">
      <c r="A14" s="95" t="s">
        <v>106</v>
      </c>
      <c r="B14" s="109">
        <v>239</v>
      </c>
      <c r="C14" s="110">
        <v>1261</v>
      </c>
      <c r="D14" s="110">
        <f>SUM(B14:C14)</f>
        <v>1500</v>
      </c>
      <c r="E14" s="109">
        <v>117</v>
      </c>
      <c r="F14" s="110">
        <v>380</v>
      </c>
      <c r="G14" s="110">
        <f>SUM(E14:F14)</f>
        <v>497</v>
      </c>
      <c r="H14" s="109">
        <v>150</v>
      </c>
      <c r="I14" s="110">
        <v>2865</v>
      </c>
      <c r="J14" s="110">
        <f>SUM(H14:I14)</f>
        <v>3015</v>
      </c>
      <c r="K14" s="111">
        <v>171</v>
      </c>
      <c r="L14" s="110">
        <v>1453</v>
      </c>
      <c r="M14" s="110">
        <f>SUM(K14:L14)</f>
        <v>1624</v>
      </c>
      <c r="N14" s="109">
        <f aca="true" t="shared" si="3" ref="N14:S14">SUM(B14,H14)</f>
        <v>389</v>
      </c>
      <c r="O14" s="110">
        <f t="shared" si="3"/>
        <v>4126</v>
      </c>
      <c r="P14" s="110">
        <f t="shared" si="3"/>
        <v>4515</v>
      </c>
      <c r="Q14" s="109">
        <f t="shared" si="3"/>
        <v>288</v>
      </c>
      <c r="R14" s="110">
        <f t="shared" si="3"/>
        <v>1833</v>
      </c>
      <c r="S14" s="110">
        <f t="shared" si="3"/>
        <v>2121</v>
      </c>
      <c r="U14"/>
      <c r="V14"/>
    </row>
    <row r="15" spans="1:22" ht="12.75">
      <c r="A15" s="3"/>
      <c r="B15" s="11"/>
      <c r="C15" s="12"/>
      <c r="D15" s="12"/>
      <c r="E15" s="11"/>
      <c r="F15" s="12"/>
      <c r="G15" s="12"/>
      <c r="H15" s="11"/>
      <c r="I15" s="12"/>
      <c r="J15" s="12"/>
      <c r="K15" s="11"/>
      <c r="L15" s="12"/>
      <c r="M15" s="12"/>
      <c r="N15" s="11"/>
      <c r="O15" s="12"/>
      <c r="P15" s="12"/>
      <c r="Q15" s="11"/>
      <c r="R15" s="12"/>
      <c r="S15" s="12"/>
      <c r="U15"/>
      <c r="V15"/>
    </row>
    <row r="16" spans="1:22" ht="12.75">
      <c r="A16" s="1" t="s">
        <v>11</v>
      </c>
      <c r="B16" s="11"/>
      <c r="C16" s="12"/>
      <c r="D16" s="12"/>
      <c r="E16" s="11"/>
      <c r="F16" s="12"/>
      <c r="G16" s="12"/>
      <c r="H16" s="11"/>
      <c r="I16" s="12"/>
      <c r="J16" s="12"/>
      <c r="K16" s="11"/>
      <c r="L16" s="12"/>
      <c r="M16" s="12"/>
      <c r="N16" s="11"/>
      <c r="O16" s="12"/>
      <c r="P16" s="12"/>
      <c r="Q16" s="11"/>
      <c r="R16" s="12"/>
      <c r="S16" s="12"/>
      <c r="U16"/>
      <c r="V16"/>
    </row>
    <row r="17" spans="1:22" s="97" customFormat="1" ht="12.75">
      <c r="A17" s="95" t="s">
        <v>49</v>
      </c>
      <c r="B17" s="109">
        <v>115</v>
      </c>
      <c r="C17" s="110">
        <v>665</v>
      </c>
      <c r="D17" s="110">
        <f>SUM(B17:C17)</f>
        <v>780</v>
      </c>
      <c r="E17" s="109">
        <v>19</v>
      </c>
      <c r="F17" s="110">
        <v>299</v>
      </c>
      <c r="G17" s="110">
        <f>SUM(E17:F17)</f>
        <v>318</v>
      </c>
      <c r="H17" s="109">
        <v>45</v>
      </c>
      <c r="I17" s="110">
        <v>802</v>
      </c>
      <c r="J17" s="110">
        <f>SUM(H17:I17)</f>
        <v>847</v>
      </c>
      <c r="K17" s="111">
        <v>46</v>
      </c>
      <c r="L17" s="110">
        <v>613</v>
      </c>
      <c r="M17" s="110">
        <f>SUM(K17:L17)</f>
        <v>659</v>
      </c>
      <c r="N17" s="109">
        <f aca="true" t="shared" si="4" ref="N17:S18">SUM(B17,H17)</f>
        <v>160</v>
      </c>
      <c r="O17" s="110">
        <f t="shared" si="4"/>
        <v>1467</v>
      </c>
      <c r="P17" s="110">
        <f t="shared" si="4"/>
        <v>1627</v>
      </c>
      <c r="Q17" s="109">
        <f t="shared" si="4"/>
        <v>65</v>
      </c>
      <c r="R17" s="110">
        <f t="shared" si="4"/>
        <v>912</v>
      </c>
      <c r="S17" s="110">
        <f t="shared" si="4"/>
        <v>977</v>
      </c>
      <c r="U17"/>
      <c r="V17"/>
    </row>
    <row r="18" spans="1:22" s="97" customFormat="1" ht="12" customHeight="1">
      <c r="A18" s="219" t="s">
        <v>71</v>
      </c>
      <c r="B18" s="109">
        <v>103</v>
      </c>
      <c r="C18" s="110">
        <v>755</v>
      </c>
      <c r="D18" s="110">
        <f>SUM(B18:C18)</f>
        <v>858</v>
      </c>
      <c r="E18" s="109">
        <v>9</v>
      </c>
      <c r="F18" s="110">
        <v>253</v>
      </c>
      <c r="G18" s="110">
        <f>SUM(E18:F18)</f>
        <v>262</v>
      </c>
      <c r="H18" s="109">
        <v>55</v>
      </c>
      <c r="I18" s="110">
        <v>977</v>
      </c>
      <c r="J18" s="110">
        <f>SUM(H18:I18)</f>
        <v>1032</v>
      </c>
      <c r="K18" s="111">
        <v>32</v>
      </c>
      <c r="L18" s="110">
        <v>589</v>
      </c>
      <c r="M18" s="110">
        <f>SUM(K18:L18)</f>
        <v>621</v>
      </c>
      <c r="N18" s="109">
        <f t="shared" si="4"/>
        <v>158</v>
      </c>
      <c r="O18" s="110">
        <f t="shared" si="4"/>
        <v>1732</v>
      </c>
      <c r="P18" s="110">
        <f t="shared" si="4"/>
        <v>1890</v>
      </c>
      <c r="Q18" s="109">
        <f t="shared" si="4"/>
        <v>41</v>
      </c>
      <c r="R18" s="110">
        <f t="shared" si="4"/>
        <v>842</v>
      </c>
      <c r="S18" s="110">
        <f t="shared" si="4"/>
        <v>883</v>
      </c>
      <c r="U18"/>
      <c r="V18"/>
    </row>
    <row r="19" spans="1:22" s="97" customFormat="1" ht="12" customHeight="1">
      <c r="A19" s="219" t="s">
        <v>86</v>
      </c>
      <c r="B19" s="109">
        <v>92</v>
      </c>
      <c r="C19" s="110">
        <v>855</v>
      </c>
      <c r="D19" s="110">
        <f>SUM(B19:C19)</f>
        <v>947</v>
      </c>
      <c r="E19" s="109">
        <v>13</v>
      </c>
      <c r="F19" s="110">
        <v>364</v>
      </c>
      <c r="G19" s="110">
        <f>SUM(E19:F19)</f>
        <v>377</v>
      </c>
      <c r="H19" s="109">
        <v>44</v>
      </c>
      <c r="I19" s="110">
        <v>984</v>
      </c>
      <c r="J19" s="110">
        <f>SUM(H19:I19)</f>
        <v>1028</v>
      </c>
      <c r="K19" s="111">
        <v>34</v>
      </c>
      <c r="L19" s="110">
        <v>545</v>
      </c>
      <c r="M19" s="110">
        <f>SUM(K19:L19)</f>
        <v>579</v>
      </c>
      <c r="N19" s="109">
        <f aca="true" t="shared" si="5" ref="N19:S19">SUM(B19,H19)</f>
        <v>136</v>
      </c>
      <c r="O19" s="110">
        <f t="shared" si="5"/>
        <v>1839</v>
      </c>
      <c r="P19" s="110">
        <f t="shared" si="5"/>
        <v>1975</v>
      </c>
      <c r="Q19" s="109">
        <f t="shared" si="5"/>
        <v>47</v>
      </c>
      <c r="R19" s="110">
        <f t="shared" si="5"/>
        <v>909</v>
      </c>
      <c r="S19" s="110">
        <f t="shared" si="5"/>
        <v>956</v>
      </c>
      <c r="U19"/>
      <c r="V19"/>
    </row>
    <row r="20" spans="1:22" s="97" customFormat="1" ht="12" customHeight="1">
      <c r="A20" s="95" t="s">
        <v>106</v>
      </c>
      <c r="B20" s="109">
        <v>86</v>
      </c>
      <c r="C20" s="110">
        <v>876</v>
      </c>
      <c r="D20" s="110">
        <f>SUM(B20:C20)</f>
        <v>962</v>
      </c>
      <c r="E20" s="109">
        <v>25</v>
      </c>
      <c r="F20" s="110">
        <v>417</v>
      </c>
      <c r="G20" s="110">
        <f>SUM(E20:F20)</f>
        <v>442</v>
      </c>
      <c r="H20" s="109">
        <v>46</v>
      </c>
      <c r="I20" s="110">
        <v>1040</v>
      </c>
      <c r="J20" s="110">
        <f>SUM(H20:I20)</f>
        <v>1086</v>
      </c>
      <c r="K20" s="111">
        <v>25</v>
      </c>
      <c r="L20" s="110">
        <v>529</v>
      </c>
      <c r="M20" s="110">
        <f>SUM(K20:L20)</f>
        <v>554</v>
      </c>
      <c r="N20" s="109">
        <f aca="true" t="shared" si="6" ref="N20:S20">SUM(B20,H20)</f>
        <v>132</v>
      </c>
      <c r="O20" s="110">
        <f t="shared" si="6"/>
        <v>1916</v>
      </c>
      <c r="P20" s="110">
        <f t="shared" si="6"/>
        <v>2048</v>
      </c>
      <c r="Q20" s="109">
        <f t="shared" si="6"/>
        <v>50</v>
      </c>
      <c r="R20" s="110">
        <f t="shared" si="6"/>
        <v>946</v>
      </c>
      <c r="S20" s="110">
        <f t="shared" si="6"/>
        <v>996</v>
      </c>
      <c r="U20"/>
      <c r="V20"/>
    </row>
    <row r="21" spans="1:22" ht="12.75">
      <c r="A21" s="2"/>
      <c r="B21" s="11"/>
      <c r="C21" s="12"/>
      <c r="D21" s="12"/>
      <c r="E21" s="11"/>
      <c r="F21" s="12"/>
      <c r="G21" s="12"/>
      <c r="H21" s="11"/>
      <c r="I21" s="12"/>
      <c r="J21" s="12"/>
      <c r="K21" s="11"/>
      <c r="L21" s="12"/>
      <c r="M21" s="12"/>
      <c r="N21" s="11"/>
      <c r="O21" s="12"/>
      <c r="P21" s="12"/>
      <c r="Q21" s="11"/>
      <c r="R21" s="12"/>
      <c r="S21" s="12"/>
      <c r="U21"/>
      <c r="V21"/>
    </row>
    <row r="22" spans="1:22" ht="12.75">
      <c r="A22" s="1" t="s">
        <v>12</v>
      </c>
      <c r="B22" s="11"/>
      <c r="C22" s="12"/>
      <c r="D22" s="12"/>
      <c r="E22" s="11"/>
      <c r="F22" s="12"/>
      <c r="G22" s="12"/>
      <c r="H22" s="11"/>
      <c r="I22" s="12"/>
      <c r="J22" s="12"/>
      <c r="K22" s="11"/>
      <c r="L22" s="12"/>
      <c r="M22" s="12"/>
      <c r="N22" s="11"/>
      <c r="O22" s="12"/>
      <c r="P22" s="12"/>
      <c r="Q22" s="11"/>
      <c r="R22" s="12"/>
      <c r="S22" s="12"/>
      <c r="U22"/>
      <c r="V22"/>
    </row>
    <row r="23" spans="1:22" s="97" customFormat="1" ht="12.75">
      <c r="A23" s="95" t="s">
        <v>49</v>
      </c>
      <c r="B23" s="109">
        <v>1307</v>
      </c>
      <c r="C23" s="110">
        <v>2418</v>
      </c>
      <c r="D23" s="110">
        <f>SUM(B23:C23)</f>
        <v>3725</v>
      </c>
      <c r="E23" s="109">
        <v>498</v>
      </c>
      <c r="F23" s="110">
        <v>873</v>
      </c>
      <c r="G23" s="110">
        <f>SUM(E23:F23)</f>
        <v>1371</v>
      </c>
      <c r="H23" s="109">
        <v>237</v>
      </c>
      <c r="I23" s="110">
        <v>1718</v>
      </c>
      <c r="J23" s="110">
        <f>SUM(H23:I23)</f>
        <v>1955</v>
      </c>
      <c r="K23" s="111">
        <v>223</v>
      </c>
      <c r="L23" s="110">
        <v>628</v>
      </c>
      <c r="M23" s="110">
        <f>SUM(K23:L23)</f>
        <v>851</v>
      </c>
      <c r="N23" s="109">
        <f aca="true" t="shared" si="7" ref="N23:S24">SUM(B23,H23)</f>
        <v>1544</v>
      </c>
      <c r="O23" s="110">
        <f t="shared" si="7"/>
        <v>4136</v>
      </c>
      <c r="P23" s="110">
        <f t="shared" si="7"/>
        <v>5680</v>
      </c>
      <c r="Q23" s="109">
        <f t="shared" si="7"/>
        <v>721</v>
      </c>
      <c r="R23" s="110">
        <f t="shared" si="7"/>
        <v>1501</v>
      </c>
      <c r="S23" s="110">
        <f t="shared" si="7"/>
        <v>2222</v>
      </c>
      <c r="U23"/>
      <c r="V23"/>
    </row>
    <row r="24" spans="1:22" s="97" customFormat="1" ht="12" customHeight="1">
      <c r="A24" s="219" t="s">
        <v>71</v>
      </c>
      <c r="B24" s="109">
        <v>1206</v>
      </c>
      <c r="C24" s="110">
        <v>2359</v>
      </c>
      <c r="D24" s="110">
        <f>SUM(B24:C24)</f>
        <v>3565</v>
      </c>
      <c r="E24" s="109">
        <v>399</v>
      </c>
      <c r="F24" s="110">
        <v>766</v>
      </c>
      <c r="G24" s="110">
        <f>SUM(E24:F24)</f>
        <v>1165</v>
      </c>
      <c r="H24" s="109">
        <v>251</v>
      </c>
      <c r="I24" s="110">
        <v>1755</v>
      </c>
      <c r="J24" s="110">
        <f>SUM(H24:I24)</f>
        <v>2006</v>
      </c>
      <c r="K24" s="111">
        <v>199</v>
      </c>
      <c r="L24" s="110">
        <v>663</v>
      </c>
      <c r="M24" s="110">
        <f>SUM(K24:L24)</f>
        <v>862</v>
      </c>
      <c r="N24" s="109">
        <f t="shared" si="7"/>
        <v>1457</v>
      </c>
      <c r="O24" s="110">
        <f t="shared" si="7"/>
        <v>4114</v>
      </c>
      <c r="P24" s="110">
        <f t="shared" si="7"/>
        <v>5571</v>
      </c>
      <c r="Q24" s="109">
        <f t="shared" si="7"/>
        <v>598</v>
      </c>
      <c r="R24" s="110">
        <f t="shared" si="7"/>
        <v>1429</v>
      </c>
      <c r="S24" s="110">
        <f t="shared" si="7"/>
        <v>2027</v>
      </c>
      <c r="U24"/>
      <c r="V24"/>
    </row>
    <row r="25" spans="1:22" s="97" customFormat="1" ht="12" customHeight="1">
      <c r="A25" s="219" t="s">
        <v>86</v>
      </c>
      <c r="B25" s="109">
        <v>1053</v>
      </c>
      <c r="C25" s="110">
        <v>2127</v>
      </c>
      <c r="D25" s="110">
        <f>SUM(B25:C25)</f>
        <v>3180</v>
      </c>
      <c r="E25" s="109">
        <v>422</v>
      </c>
      <c r="F25" s="110">
        <v>721</v>
      </c>
      <c r="G25" s="110">
        <f>SUM(E25:F25)</f>
        <v>1143</v>
      </c>
      <c r="H25" s="109">
        <v>244</v>
      </c>
      <c r="I25" s="110">
        <v>1828</v>
      </c>
      <c r="J25" s="110">
        <f>SUM(H25:I25)</f>
        <v>2072</v>
      </c>
      <c r="K25" s="111">
        <v>211</v>
      </c>
      <c r="L25" s="110">
        <v>572</v>
      </c>
      <c r="M25" s="110">
        <f>SUM(K25:L25)</f>
        <v>783</v>
      </c>
      <c r="N25" s="109">
        <f aca="true" t="shared" si="8" ref="N25:S25">SUM(B25,H25)</f>
        <v>1297</v>
      </c>
      <c r="O25" s="110">
        <f t="shared" si="8"/>
        <v>3955</v>
      </c>
      <c r="P25" s="110">
        <f t="shared" si="8"/>
        <v>5252</v>
      </c>
      <c r="Q25" s="109">
        <f t="shared" si="8"/>
        <v>633</v>
      </c>
      <c r="R25" s="110">
        <f t="shared" si="8"/>
        <v>1293</v>
      </c>
      <c r="S25" s="110">
        <f t="shared" si="8"/>
        <v>1926</v>
      </c>
      <c r="U25"/>
      <c r="V25"/>
    </row>
    <row r="26" spans="1:22" s="97" customFormat="1" ht="12" customHeight="1">
      <c r="A26" s="95" t="s">
        <v>106</v>
      </c>
      <c r="B26" s="109">
        <f>982-B38</f>
        <v>971</v>
      </c>
      <c r="C26" s="110">
        <f>1946-C38</f>
        <v>1905</v>
      </c>
      <c r="D26" s="110">
        <f>SUM(B26:C26)</f>
        <v>2876</v>
      </c>
      <c r="E26" s="109">
        <f>389-E38</f>
        <v>384</v>
      </c>
      <c r="F26" s="110">
        <f>708-F38</f>
        <v>694</v>
      </c>
      <c r="G26" s="110">
        <f>SUM(E26:F26)</f>
        <v>1078</v>
      </c>
      <c r="H26" s="109">
        <f>257-H38</f>
        <v>255</v>
      </c>
      <c r="I26" s="110">
        <f>1856-I38</f>
        <v>1807</v>
      </c>
      <c r="J26" s="110">
        <f>SUM(H26:I26)</f>
        <v>2062</v>
      </c>
      <c r="K26" s="111">
        <f>183-K38</f>
        <v>180</v>
      </c>
      <c r="L26" s="110">
        <f>641-L38</f>
        <v>627</v>
      </c>
      <c r="M26" s="110">
        <f>SUM(K26:L26)</f>
        <v>807</v>
      </c>
      <c r="N26" s="109">
        <f aca="true" t="shared" si="9" ref="N26:S26">SUM(B26,H26)</f>
        <v>1226</v>
      </c>
      <c r="O26" s="110">
        <f t="shared" si="9"/>
        <v>3712</v>
      </c>
      <c r="P26" s="110">
        <f t="shared" si="9"/>
        <v>4938</v>
      </c>
      <c r="Q26" s="109">
        <f t="shared" si="9"/>
        <v>564</v>
      </c>
      <c r="R26" s="110">
        <f t="shared" si="9"/>
        <v>1321</v>
      </c>
      <c r="S26" s="110">
        <f t="shared" si="9"/>
        <v>1885</v>
      </c>
      <c r="U26"/>
      <c r="V26"/>
    </row>
    <row r="27" spans="1:22" ht="12.75">
      <c r="A27" s="3"/>
      <c r="B27" s="11"/>
      <c r="C27" s="12"/>
      <c r="D27" s="12"/>
      <c r="E27" s="11"/>
      <c r="F27" s="12"/>
      <c r="G27" s="12"/>
      <c r="H27" s="11"/>
      <c r="I27" s="12"/>
      <c r="J27" s="12"/>
      <c r="K27" s="11"/>
      <c r="L27" s="12"/>
      <c r="M27" s="12"/>
      <c r="N27" s="11"/>
      <c r="O27" s="12"/>
      <c r="P27" s="12"/>
      <c r="Q27" s="11"/>
      <c r="R27" s="12"/>
      <c r="S27" s="12"/>
      <c r="U27"/>
      <c r="V27"/>
    </row>
    <row r="28" spans="1:22" ht="12.75">
      <c r="A28" s="1" t="s">
        <v>13</v>
      </c>
      <c r="B28" s="11"/>
      <c r="C28" s="12"/>
      <c r="D28" s="12"/>
      <c r="E28" s="11"/>
      <c r="F28" s="12"/>
      <c r="G28" s="12"/>
      <c r="H28" s="11"/>
      <c r="I28" s="12"/>
      <c r="J28" s="12"/>
      <c r="K28" s="11"/>
      <c r="L28" s="12"/>
      <c r="M28" s="12"/>
      <c r="N28" s="11"/>
      <c r="O28" s="12"/>
      <c r="P28" s="12"/>
      <c r="Q28" s="11"/>
      <c r="R28" s="12"/>
      <c r="S28" s="12"/>
      <c r="U28"/>
      <c r="V28"/>
    </row>
    <row r="29" spans="1:22" s="97" customFormat="1" ht="12.75">
      <c r="A29" s="95" t="s">
        <v>49</v>
      </c>
      <c r="B29" s="109">
        <v>123</v>
      </c>
      <c r="C29" s="110">
        <v>346</v>
      </c>
      <c r="D29" s="110">
        <f>SUM(B29:C29)</f>
        <v>469</v>
      </c>
      <c r="E29" s="109">
        <v>46</v>
      </c>
      <c r="F29" s="110">
        <v>189</v>
      </c>
      <c r="G29" s="110">
        <f>SUM(E29:F29)</f>
        <v>235</v>
      </c>
      <c r="H29" s="109">
        <v>26</v>
      </c>
      <c r="I29" s="110">
        <v>284</v>
      </c>
      <c r="J29" s="110">
        <f>SUM(H29:I29)</f>
        <v>310</v>
      </c>
      <c r="K29" s="111">
        <v>29</v>
      </c>
      <c r="L29" s="110">
        <v>221</v>
      </c>
      <c r="M29" s="110">
        <f>SUM(K29:L29)</f>
        <v>250</v>
      </c>
      <c r="N29" s="109">
        <f>SUM(B29,H29)</f>
        <v>149</v>
      </c>
      <c r="O29" s="110">
        <f>SUM(C29,I29)</f>
        <v>630</v>
      </c>
      <c r="P29" s="110">
        <f aca="true" t="shared" si="10" ref="P29:R30">SUM(D29,J29)</f>
        <v>779</v>
      </c>
      <c r="Q29" s="109">
        <f t="shared" si="10"/>
        <v>75</v>
      </c>
      <c r="R29" s="110">
        <f t="shared" si="10"/>
        <v>410</v>
      </c>
      <c r="S29" s="110">
        <f>SUM(G29,M29)</f>
        <v>485</v>
      </c>
      <c r="U29"/>
      <c r="V29"/>
    </row>
    <row r="30" spans="1:22" s="97" customFormat="1" ht="12" customHeight="1">
      <c r="A30" s="219" t="s">
        <v>71</v>
      </c>
      <c r="B30" s="109">
        <v>129</v>
      </c>
      <c r="C30" s="110">
        <v>412</v>
      </c>
      <c r="D30" s="110">
        <f>SUM(B30:C30)</f>
        <v>541</v>
      </c>
      <c r="E30" s="109">
        <v>50</v>
      </c>
      <c r="F30" s="110">
        <v>214</v>
      </c>
      <c r="G30" s="110">
        <f>SUM(E30:F30)</f>
        <v>264</v>
      </c>
      <c r="H30" s="109">
        <v>38</v>
      </c>
      <c r="I30" s="110">
        <v>323</v>
      </c>
      <c r="J30" s="110">
        <f>SUM(H30:I30)</f>
        <v>361</v>
      </c>
      <c r="K30" s="111">
        <v>18</v>
      </c>
      <c r="L30" s="110">
        <v>172</v>
      </c>
      <c r="M30" s="110">
        <f>SUM(K30:L30)</f>
        <v>190</v>
      </c>
      <c r="N30" s="109">
        <f>SUM(B30,H30)</f>
        <v>167</v>
      </c>
      <c r="O30" s="110">
        <f>SUM(C30,I30)</f>
        <v>735</v>
      </c>
      <c r="P30" s="110">
        <f t="shared" si="10"/>
        <v>902</v>
      </c>
      <c r="Q30" s="109">
        <f t="shared" si="10"/>
        <v>68</v>
      </c>
      <c r="R30" s="110">
        <f t="shared" si="10"/>
        <v>386</v>
      </c>
      <c r="S30" s="110">
        <f>SUM(G30,M30)</f>
        <v>454</v>
      </c>
      <c r="U30"/>
      <c r="V30"/>
    </row>
    <row r="31" spans="1:22" s="97" customFormat="1" ht="12" customHeight="1">
      <c r="A31" s="219" t="s">
        <v>86</v>
      </c>
      <c r="B31" s="109">
        <v>118</v>
      </c>
      <c r="C31" s="110">
        <v>479</v>
      </c>
      <c r="D31" s="110">
        <f>SUM(B31:C31)</f>
        <v>597</v>
      </c>
      <c r="E31" s="109">
        <v>56</v>
      </c>
      <c r="F31" s="110">
        <v>267</v>
      </c>
      <c r="G31" s="110">
        <f>SUM(E31:F31)</f>
        <v>323</v>
      </c>
      <c r="H31" s="109">
        <v>47</v>
      </c>
      <c r="I31" s="110">
        <v>348</v>
      </c>
      <c r="J31" s="110">
        <f>SUM(H31:I31)</f>
        <v>395</v>
      </c>
      <c r="K31" s="111">
        <v>24</v>
      </c>
      <c r="L31" s="110">
        <v>239</v>
      </c>
      <c r="M31" s="110">
        <f>SUM(K31:L31)</f>
        <v>263</v>
      </c>
      <c r="N31" s="109">
        <f aca="true" t="shared" si="11" ref="N31:R32">SUM(B31,H31)</f>
        <v>165</v>
      </c>
      <c r="O31" s="110">
        <f t="shared" si="11"/>
        <v>827</v>
      </c>
      <c r="P31" s="110">
        <f t="shared" si="11"/>
        <v>992</v>
      </c>
      <c r="Q31" s="109">
        <f t="shared" si="11"/>
        <v>80</v>
      </c>
      <c r="R31" s="110">
        <f t="shared" si="11"/>
        <v>506</v>
      </c>
      <c r="S31" s="110">
        <f>SUM(G31,M31)</f>
        <v>586</v>
      </c>
      <c r="U31"/>
      <c r="V31"/>
    </row>
    <row r="32" spans="1:22" s="97" customFormat="1" ht="12" customHeight="1">
      <c r="A32" s="95" t="s">
        <v>106</v>
      </c>
      <c r="B32" s="109">
        <v>107</v>
      </c>
      <c r="C32" s="110">
        <v>503</v>
      </c>
      <c r="D32" s="110">
        <f>SUM(B32:C32)</f>
        <v>610</v>
      </c>
      <c r="E32" s="109">
        <v>53</v>
      </c>
      <c r="F32" s="110">
        <v>210</v>
      </c>
      <c r="G32" s="110">
        <f>SUM(E32:F32)</f>
        <v>263</v>
      </c>
      <c r="H32" s="109">
        <v>47</v>
      </c>
      <c r="I32" s="110">
        <v>408</v>
      </c>
      <c r="J32" s="110">
        <f>SUM(H32:I32)</f>
        <v>455</v>
      </c>
      <c r="K32" s="111">
        <v>28</v>
      </c>
      <c r="L32" s="110">
        <v>254</v>
      </c>
      <c r="M32" s="110">
        <f>SUM(K32:L32)</f>
        <v>282</v>
      </c>
      <c r="N32" s="109">
        <f t="shared" si="11"/>
        <v>154</v>
      </c>
      <c r="O32" s="110">
        <f t="shared" si="11"/>
        <v>911</v>
      </c>
      <c r="P32" s="110">
        <f t="shared" si="11"/>
        <v>1065</v>
      </c>
      <c r="Q32" s="109">
        <f t="shared" si="11"/>
        <v>81</v>
      </c>
      <c r="R32" s="110">
        <f t="shared" si="11"/>
        <v>464</v>
      </c>
      <c r="S32" s="110">
        <f>SUM(G32,M32)</f>
        <v>545</v>
      </c>
      <c r="U32"/>
      <c r="V32"/>
    </row>
    <row r="33" spans="1:22" s="97" customFormat="1" ht="12.75">
      <c r="A33" s="95"/>
      <c r="B33" s="109"/>
      <c r="C33" s="110"/>
      <c r="D33" s="110"/>
      <c r="E33" s="109"/>
      <c r="F33" s="110"/>
      <c r="G33" s="110"/>
      <c r="H33" s="109"/>
      <c r="I33" s="110"/>
      <c r="J33" s="110"/>
      <c r="K33" s="111"/>
      <c r="L33" s="110"/>
      <c r="M33" s="110"/>
      <c r="N33" s="109"/>
      <c r="O33" s="110"/>
      <c r="P33" s="110"/>
      <c r="Q33" s="109"/>
      <c r="R33" s="110"/>
      <c r="S33" s="110"/>
      <c r="U33"/>
      <c r="V33"/>
    </row>
    <row r="34" spans="1:22" s="97" customFormat="1" ht="14.25" customHeight="1">
      <c r="A34" s="94" t="s">
        <v>120</v>
      </c>
      <c r="B34" s="109"/>
      <c r="C34" s="110"/>
      <c r="D34" s="110"/>
      <c r="E34" s="109"/>
      <c r="F34" s="110"/>
      <c r="G34" s="110"/>
      <c r="H34" s="109"/>
      <c r="I34" s="110"/>
      <c r="J34" s="110"/>
      <c r="K34" s="109"/>
      <c r="L34" s="110"/>
      <c r="M34" s="110"/>
      <c r="N34" s="109"/>
      <c r="O34" s="110"/>
      <c r="P34" s="110"/>
      <c r="Q34" s="109"/>
      <c r="R34" s="110"/>
      <c r="S34" s="110"/>
      <c r="U34"/>
      <c r="V34"/>
    </row>
    <row r="35" spans="1:22" s="97" customFormat="1" ht="14.25" customHeight="1">
      <c r="A35" s="95" t="s">
        <v>49</v>
      </c>
      <c r="B35" s="84">
        <v>2</v>
      </c>
      <c r="C35" s="199">
        <v>9</v>
      </c>
      <c r="D35" s="199">
        <f>SUM(B35,C35)</f>
        <v>11</v>
      </c>
      <c r="E35" s="84">
        <v>0</v>
      </c>
      <c r="F35" s="199">
        <v>5</v>
      </c>
      <c r="G35" s="199">
        <f>SUM(E35:F35)</f>
        <v>5</v>
      </c>
      <c r="H35" s="84">
        <v>0</v>
      </c>
      <c r="I35" s="199">
        <v>4</v>
      </c>
      <c r="J35" s="199">
        <f>SUM(H35:I35)</f>
        <v>4</v>
      </c>
      <c r="K35" s="84">
        <v>0</v>
      </c>
      <c r="L35" s="199">
        <v>3</v>
      </c>
      <c r="M35" s="199">
        <f>SUM(K35:L35)</f>
        <v>3</v>
      </c>
      <c r="N35" s="84">
        <f aca="true" t="shared" si="12" ref="N35:O37">SUM(B35,H35)</f>
        <v>2</v>
      </c>
      <c r="O35" s="199">
        <f t="shared" si="12"/>
        <v>13</v>
      </c>
      <c r="P35" s="199">
        <f>SUM(N35:O35)</f>
        <v>15</v>
      </c>
      <c r="Q35" s="84">
        <f aca="true" t="shared" si="13" ref="Q35:R37">SUM(E35,K35)</f>
        <v>0</v>
      </c>
      <c r="R35" s="199">
        <f t="shared" si="13"/>
        <v>8</v>
      </c>
      <c r="S35" s="199">
        <f>SUM(Q35:R35)</f>
        <v>8</v>
      </c>
      <c r="U35"/>
      <c r="V35"/>
    </row>
    <row r="36" spans="1:22" s="97" customFormat="1" ht="12" customHeight="1">
      <c r="A36" s="219" t="s">
        <v>71</v>
      </c>
      <c r="B36" s="109">
        <v>2</v>
      </c>
      <c r="C36" s="110">
        <v>9</v>
      </c>
      <c r="D36" s="199">
        <f>SUM(B36,C36)</f>
        <v>11</v>
      </c>
      <c r="E36" s="109">
        <v>0</v>
      </c>
      <c r="F36" s="110">
        <v>2</v>
      </c>
      <c r="G36" s="199">
        <f>SUM(E36:F36)</f>
        <v>2</v>
      </c>
      <c r="H36" s="109">
        <v>0</v>
      </c>
      <c r="I36" s="110">
        <v>8</v>
      </c>
      <c r="J36" s="199">
        <f>SUM(H36:I36)</f>
        <v>8</v>
      </c>
      <c r="K36" s="111">
        <v>0</v>
      </c>
      <c r="L36" s="110">
        <v>0</v>
      </c>
      <c r="M36" s="199">
        <f>SUM(K36:L36)</f>
        <v>0</v>
      </c>
      <c r="N36" s="109">
        <f t="shared" si="12"/>
        <v>2</v>
      </c>
      <c r="O36" s="110">
        <f t="shared" si="12"/>
        <v>17</v>
      </c>
      <c r="P36" s="110">
        <f>SUM(D36,J36)</f>
        <v>19</v>
      </c>
      <c r="Q36" s="109">
        <f t="shared" si="13"/>
        <v>0</v>
      </c>
      <c r="R36" s="110">
        <f t="shared" si="13"/>
        <v>2</v>
      </c>
      <c r="S36" s="110">
        <f>SUM(G36,M36)</f>
        <v>2</v>
      </c>
      <c r="U36"/>
      <c r="V36"/>
    </row>
    <row r="37" spans="1:22" s="97" customFormat="1" ht="12" customHeight="1">
      <c r="A37" s="219" t="s">
        <v>86</v>
      </c>
      <c r="B37" s="109">
        <v>2</v>
      </c>
      <c r="C37" s="110">
        <v>10</v>
      </c>
      <c r="D37" s="199">
        <f>SUM(B37,C37)</f>
        <v>12</v>
      </c>
      <c r="E37" s="109">
        <v>0</v>
      </c>
      <c r="F37" s="110">
        <v>5</v>
      </c>
      <c r="G37" s="199">
        <f>SUM(E37:F37)</f>
        <v>5</v>
      </c>
      <c r="H37" s="109">
        <v>0</v>
      </c>
      <c r="I37" s="110">
        <v>4</v>
      </c>
      <c r="J37" s="199">
        <f>SUM(H37:I37)</f>
        <v>4</v>
      </c>
      <c r="K37" s="111">
        <v>0</v>
      </c>
      <c r="L37" s="110">
        <v>3</v>
      </c>
      <c r="M37" s="199">
        <f>SUM(K37:L37)</f>
        <v>3</v>
      </c>
      <c r="N37" s="109">
        <f t="shared" si="12"/>
        <v>2</v>
      </c>
      <c r="O37" s="110">
        <f t="shared" si="12"/>
        <v>14</v>
      </c>
      <c r="P37" s="110">
        <f>SUM(D37,J37)</f>
        <v>16</v>
      </c>
      <c r="Q37" s="109">
        <f t="shared" si="13"/>
        <v>0</v>
      </c>
      <c r="R37" s="110">
        <f t="shared" si="13"/>
        <v>8</v>
      </c>
      <c r="S37" s="110">
        <f>SUM(G37,M37)</f>
        <v>8</v>
      </c>
      <c r="U37"/>
      <c r="V37"/>
    </row>
    <row r="38" spans="1:22" s="97" customFormat="1" ht="12" customHeight="1">
      <c r="A38" s="95" t="s">
        <v>106</v>
      </c>
      <c r="B38" s="109">
        <v>11</v>
      </c>
      <c r="C38" s="110">
        <v>41</v>
      </c>
      <c r="D38" s="199">
        <f>SUM(B38,C38)</f>
        <v>52</v>
      </c>
      <c r="E38" s="109">
        <v>5</v>
      </c>
      <c r="F38" s="110">
        <v>14</v>
      </c>
      <c r="G38" s="199">
        <f>SUM(E38:F38)</f>
        <v>19</v>
      </c>
      <c r="H38" s="109">
        <v>2</v>
      </c>
      <c r="I38" s="110">
        <v>49</v>
      </c>
      <c r="J38" s="199">
        <f>SUM(H38:I38)</f>
        <v>51</v>
      </c>
      <c r="K38" s="111">
        <v>3</v>
      </c>
      <c r="L38" s="110">
        <v>14</v>
      </c>
      <c r="M38" s="199">
        <f>SUM(K38:L38)</f>
        <v>17</v>
      </c>
      <c r="N38" s="109">
        <f>SUM(B38,H38)</f>
        <v>13</v>
      </c>
      <c r="O38" s="110">
        <f>SUM(C38,I38)</f>
        <v>90</v>
      </c>
      <c r="P38" s="110">
        <f>SUM(D38,J38)</f>
        <v>103</v>
      </c>
      <c r="Q38" s="109">
        <f>SUM(E38,K38)</f>
        <v>8</v>
      </c>
      <c r="R38" s="110">
        <f>SUM(F38,L38)</f>
        <v>28</v>
      </c>
      <c r="S38" s="110">
        <f>SUM(G38,M38)</f>
        <v>36</v>
      </c>
      <c r="U38"/>
      <c r="V38"/>
    </row>
    <row r="39" spans="1:22" ht="12.75">
      <c r="A39" s="2"/>
      <c r="B39" s="11"/>
      <c r="C39" s="12"/>
      <c r="D39" s="12"/>
      <c r="E39" s="11"/>
      <c r="F39" s="12"/>
      <c r="G39" s="12"/>
      <c r="H39" s="11"/>
      <c r="I39" s="12"/>
      <c r="J39" s="12"/>
      <c r="K39" s="11"/>
      <c r="L39" s="12"/>
      <c r="M39" s="12"/>
      <c r="N39" s="11"/>
      <c r="O39" s="12"/>
      <c r="P39" s="12"/>
      <c r="Q39" s="11"/>
      <c r="R39" s="12"/>
      <c r="S39" s="12"/>
      <c r="U39"/>
      <c r="V39"/>
    </row>
    <row r="40" spans="1:22" ht="12.75">
      <c r="A40" s="1" t="s">
        <v>14</v>
      </c>
      <c r="B40" s="11"/>
      <c r="C40" s="12"/>
      <c r="D40" s="12"/>
      <c r="E40" s="11"/>
      <c r="F40" s="12"/>
      <c r="G40" s="12"/>
      <c r="H40" s="11"/>
      <c r="I40" s="12"/>
      <c r="J40" s="12"/>
      <c r="K40" s="11"/>
      <c r="L40" s="12"/>
      <c r="M40" s="12"/>
      <c r="N40" s="11"/>
      <c r="O40" s="12"/>
      <c r="P40" s="12"/>
      <c r="Q40" s="11"/>
      <c r="R40" s="12"/>
      <c r="S40" s="12"/>
      <c r="U40"/>
      <c r="V40"/>
    </row>
    <row r="41" spans="1:22" s="97" customFormat="1" ht="12.75">
      <c r="A41" s="95" t="s">
        <v>49</v>
      </c>
      <c r="B41" s="109">
        <v>415</v>
      </c>
      <c r="C41" s="110">
        <v>562</v>
      </c>
      <c r="D41" s="110">
        <f>SUM(B41:C41)</f>
        <v>977</v>
      </c>
      <c r="E41" s="109">
        <v>241</v>
      </c>
      <c r="F41" s="110">
        <v>362</v>
      </c>
      <c r="G41" s="110">
        <f>SUM(E41:F41)</f>
        <v>603</v>
      </c>
      <c r="H41" s="109">
        <v>69</v>
      </c>
      <c r="I41" s="110">
        <v>508</v>
      </c>
      <c r="J41" s="110">
        <f>SUM(H41:I41)</f>
        <v>577</v>
      </c>
      <c r="K41" s="111">
        <v>50</v>
      </c>
      <c r="L41" s="110">
        <v>239</v>
      </c>
      <c r="M41" s="110">
        <f>SUM(K41:L41)</f>
        <v>289</v>
      </c>
      <c r="N41" s="109">
        <f aca="true" t="shared" si="14" ref="N41:S42">SUM(B41,H41)</f>
        <v>484</v>
      </c>
      <c r="O41" s="110">
        <f t="shared" si="14"/>
        <v>1070</v>
      </c>
      <c r="P41" s="110">
        <f t="shared" si="14"/>
        <v>1554</v>
      </c>
      <c r="Q41" s="109">
        <f t="shared" si="14"/>
        <v>291</v>
      </c>
      <c r="R41" s="110">
        <f t="shared" si="14"/>
        <v>601</v>
      </c>
      <c r="S41" s="110">
        <f t="shared" si="14"/>
        <v>892</v>
      </c>
      <c r="U41"/>
      <c r="V41"/>
    </row>
    <row r="42" spans="1:22" s="97" customFormat="1" ht="12" customHeight="1">
      <c r="A42" s="219" t="s">
        <v>71</v>
      </c>
      <c r="B42" s="109">
        <v>459</v>
      </c>
      <c r="C42" s="110">
        <v>645</v>
      </c>
      <c r="D42" s="110">
        <f>SUM(B42:C42)</f>
        <v>1104</v>
      </c>
      <c r="E42" s="109">
        <v>213</v>
      </c>
      <c r="F42" s="110">
        <v>292</v>
      </c>
      <c r="G42" s="110">
        <f>SUM(E42:F42)</f>
        <v>505</v>
      </c>
      <c r="H42" s="109">
        <v>97</v>
      </c>
      <c r="I42" s="110">
        <v>559</v>
      </c>
      <c r="J42" s="110">
        <f>SUM(H42:I42)</f>
        <v>656</v>
      </c>
      <c r="K42" s="111">
        <v>56</v>
      </c>
      <c r="L42" s="110">
        <v>231</v>
      </c>
      <c r="M42" s="110">
        <f>SUM(K42:L42)</f>
        <v>287</v>
      </c>
      <c r="N42" s="109">
        <f t="shared" si="14"/>
        <v>556</v>
      </c>
      <c r="O42" s="110">
        <f t="shared" si="14"/>
        <v>1204</v>
      </c>
      <c r="P42" s="110">
        <f t="shared" si="14"/>
        <v>1760</v>
      </c>
      <c r="Q42" s="109">
        <f t="shared" si="14"/>
        <v>269</v>
      </c>
      <c r="R42" s="110">
        <f t="shared" si="14"/>
        <v>523</v>
      </c>
      <c r="S42" s="110">
        <f t="shared" si="14"/>
        <v>792</v>
      </c>
      <c r="U42"/>
      <c r="V42"/>
    </row>
    <row r="43" spans="1:22" s="97" customFormat="1" ht="12" customHeight="1">
      <c r="A43" s="219" t="s">
        <v>86</v>
      </c>
      <c r="B43" s="109">
        <v>417</v>
      </c>
      <c r="C43" s="110">
        <v>531</v>
      </c>
      <c r="D43" s="110">
        <f>SUM(B43:C43)</f>
        <v>948</v>
      </c>
      <c r="E43" s="109">
        <v>158</v>
      </c>
      <c r="F43" s="110">
        <v>260</v>
      </c>
      <c r="G43" s="110">
        <f>SUM(E43:F43)</f>
        <v>418</v>
      </c>
      <c r="H43" s="109">
        <v>108</v>
      </c>
      <c r="I43" s="110">
        <v>547</v>
      </c>
      <c r="J43" s="110">
        <f>SUM(H43:I43)</f>
        <v>655</v>
      </c>
      <c r="K43" s="111">
        <v>46</v>
      </c>
      <c r="L43" s="110">
        <v>212</v>
      </c>
      <c r="M43" s="110">
        <f>SUM(K43:L43)</f>
        <v>258</v>
      </c>
      <c r="N43" s="109">
        <f aca="true" t="shared" si="15" ref="N43:S43">SUM(B43,H43)</f>
        <v>525</v>
      </c>
      <c r="O43" s="110">
        <f t="shared" si="15"/>
        <v>1078</v>
      </c>
      <c r="P43" s="110">
        <f t="shared" si="15"/>
        <v>1603</v>
      </c>
      <c r="Q43" s="109">
        <f t="shared" si="15"/>
        <v>204</v>
      </c>
      <c r="R43" s="110">
        <f t="shared" si="15"/>
        <v>472</v>
      </c>
      <c r="S43" s="110">
        <f t="shared" si="15"/>
        <v>676</v>
      </c>
      <c r="U43"/>
      <c r="V43"/>
    </row>
    <row r="44" spans="1:22" s="97" customFormat="1" ht="12" customHeight="1">
      <c r="A44" s="95" t="s">
        <v>106</v>
      </c>
      <c r="B44" s="109">
        <v>436</v>
      </c>
      <c r="C44" s="110">
        <v>513</v>
      </c>
      <c r="D44" s="110">
        <f>SUM(B44:C44)</f>
        <v>949</v>
      </c>
      <c r="E44" s="109">
        <v>153</v>
      </c>
      <c r="F44" s="110">
        <v>270</v>
      </c>
      <c r="G44" s="110">
        <f>SUM(E44:F44)</f>
        <v>423</v>
      </c>
      <c r="H44" s="109">
        <v>121</v>
      </c>
      <c r="I44" s="110">
        <v>633</v>
      </c>
      <c r="J44" s="110">
        <f>SUM(H44:I44)</f>
        <v>754</v>
      </c>
      <c r="K44" s="111">
        <v>65</v>
      </c>
      <c r="L44" s="110">
        <v>235</v>
      </c>
      <c r="M44" s="110">
        <f>SUM(K44:L44)</f>
        <v>300</v>
      </c>
      <c r="N44" s="109">
        <f aca="true" t="shared" si="16" ref="N44:S44">SUM(B44,H44)</f>
        <v>557</v>
      </c>
      <c r="O44" s="110">
        <f t="shared" si="16"/>
        <v>1146</v>
      </c>
      <c r="P44" s="110">
        <f t="shared" si="16"/>
        <v>1703</v>
      </c>
      <c r="Q44" s="109">
        <f t="shared" si="16"/>
        <v>218</v>
      </c>
      <c r="R44" s="110">
        <f t="shared" si="16"/>
        <v>505</v>
      </c>
      <c r="S44" s="110">
        <f t="shared" si="16"/>
        <v>723</v>
      </c>
      <c r="U44"/>
      <c r="V44"/>
    </row>
    <row r="45" spans="1:22" ht="12.75">
      <c r="A45" s="2"/>
      <c r="B45" s="11"/>
      <c r="C45" s="12"/>
      <c r="D45" s="12"/>
      <c r="E45" s="11"/>
      <c r="F45" s="12"/>
      <c r="G45" s="12"/>
      <c r="H45" s="11"/>
      <c r="I45" s="12"/>
      <c r="J45" s="12"/>
      <c r="K45" s="11"/>
      <c r="L45" s="12"/>
      <c r="M45" s="12"/>
      <c r="N45" s="11"/>
      <c r="O45" s="12"/>
      <c r="P45" s="12"/>
      <c r="Q45" s="11"/>
      <c r="R45" s="12"/>
      <c r="S45" s="12"/>
      <c r="U45"/>
      <c r="V45"/>
    </row>
    <row r="46" spans="1:22" s="97" customFormat="1" ht="14.25" customHeight="1">
      <c r="A46" s="94" t="s">
        <v>48</v>
      </c>
      <c r="B46" s="109"/>
      <c r="C46" s="110"/>
      <c r="D46" s="110"/>
      <c r="E46" s="109"/>
      <c r="F46" s="110"/>
      <c r="G46" s="110"/>
      <c r="H46" s="109"/>
      <c r="I46" s="110"/>
      <c r="J46" s="110"/>
      <c r="K46" s="109"/>
      <c r="L46" s="110"/>
      <c r="M46" s="110"/>
      <c r="N46" s="109"/>
      <c r="O46" s="110"/>
      <c r="P46" s="110"/>
      <c r="Q46" s="109"/>
      <c r="R46" s="110"/>
      <c r="S46" s="110"/>
      <c r="U46"/>
      <c r="V46"/>
    </row>
    <row r="47" spans="1:22" s="97" customFormat="1" ht="14.25" customHeight="1">
      <c r="A47" s="95" t="s">
        <v>49</v>
      </c>
      <c r="B47" s="84">
        <v>0</v>
      </c>
      <c r="C47" s="199">
        <v>0</v>
      </c>
      <c r="D47" s="199">
        <f>SUM(B47,C47)</f>
        <v>0</v>
      </c>
      <c r="E47" s="84">
        <v>4</v>
      </c>
      <c r="F47" s="199">
        <v>11</v>
      </c>
      <c r="G47" s="199">
        <f>SUM(E47:F47)</f>
        <v>15</v>
      </c>
      <c r="H47" s="84">
        <v>0</v>
      </c>
      <c r="I47" s="199">
        <v>0</v>
      </c>
      <c r="J47" s="199">
        <f>SUM(H47:I47)</f>
        <v>0</v>
      </c>
      <c r="K47" s="84">
        <v>2</v>
      </c>
      <c r="L47" s="199">
        <v>59</v>
      </c>
      <c r="M47" s="199">
        <f>SUM(K47:L47)</f>
        <v>61</v>
      </c>
      <c r="N47" s="84">
        <f aca="true" t="shared" si="17" ref="N47:O49">SUM(B47,H47)</f>
        <v>0</v>
      </c>
      <c r="O47" s="199">
        <f t="shared" si="17"/>
        <v>0</v>
      </c>
      <c r="P47" s="199">
        <f>SUM(N47:O47)</f>
        <v>0</v>
      </c>
      <c r="Q47" s="84">
        <f aca="true" t="shared" si="18" ref="Q47:R49">SUM(E47,K47)</f>
        <v>6</v>
      </c>
      <c r="R47" s="199">
        <f t="shared" si="18"/>
        <v>70</v>
      </c>
      <c r="S47" s="199">
        <f>SUM(Q47:R47)</f>
        <v>76</v>
      </c>
      <c r="U47"/>
      <c r="V47"/>
    </row>
    <row r="48" spans="1:22" s="97" customFormat="1" ht="12" customHeight="1">
      <c r="A48" s="219" t="s">
        <v>72</v>
      </c>
      <c r="B48" s="109">
        <v>0</v>
      </c>
      <c r="C48" s="110">
        <v>0</v>
      </c>
      <c r="D48" s="199">
        <f>SUM(B48,C48)</f>
        <v>0</v>
      </c>
      <c r="E48" s="109">
        <v>1</v>
      </c>
      <c r="F48" s="110">
        <v>20</v>
      </c>
      <c r="G48" s="199">
        <f>SUM(E48:F48)</f>
        <v>21</v>
      </c>
      <c r="H48" s="109">
        <v>0</v>
      </c>
      <c r="I48" s="110">
        <v>0</v>
      </c>
      <c r="J48" s="199">
        <f>SUM(H48:I48)</f>
        <v>0</v>
      </c>
      <c r="K48" s="111">
        <v>5</v>
      </c>
      <c r="L48" s="110">
        <v>54</v>
      </c>
      <c r="M48" s="199">
        <f>SUM(K48:L48)</f>
        <v>59</v>
      </c>
      <c r="N48" s="109">
        <f t="shared" si="17"/>
        <v>0</v>
      </c>
      <c r="O48" s="110">
        <f t="shared" si="17"/>
        <v>0</v>
      </c>
      <c r="P48" s="110">
        <f>SUM(D48,J48)</f>
        <v>0</v>
      </c>
      <c r="Q48" s="109">
        <f t="shared" si="18"/>
        <v>6</v>
      </c>
      <c r="R48" s="110">
        <f t="shared" si="18"/>
        <v>74</v>
      </c>
      <c r="S48" s="110">
        <f>SUM(G48,M48)</f>
        <v>80</v>
      </c>
      <c r="U48"/>
      <c r="V48"/>
    </row>
    <row r="49" spans="1:22" s="97" customFormat="1" ht="12" customHeight="1">
      <c r="A49" s="219" t="s">
        <v>86</v>
      </c>
      <c r="B49" s="109">
        <v>0</v>
      </c>
      <c r="C49" s="110">
        <v>0</v>
      </c>
      <c r="D49" s="199">
        <f>SUM(B49,C49)</f>
        <v>0</v>
      </c>
      <c r="E49" s="109">
        <v>2</v>
      </c>
      <c r="F49" s="110">
        <v>26</v>
      </c>
      <c r="G49" s="199">
        <f>SUM(E49:F49)</f>
        <v>28</v>
      </c>
      <c r="H49" s="109">
        <v>0</v>
      </c>
      <c r="I49" s="110">
        <v>0</v>
      </c>
      <c r="J49" s="199">
        <f>SUM(H49:I49)</f>
        <v>0</v>
      </c>
      <c r="K49" s="111">
        <v>8</v>
      </c>
      <c r="L49" s="110">
        <v>70</v>
      </c>
      <c r="M49" s="199">
        <f>SUM(K49:L49)</f>
        <v>78</v>
      </c>
      <c r="N49" s="109">
        <f t="shared" si="17"/>
        <v>0</v>
      </c>
      <c r="O49" s="110">
        <f t="shared" si="17"/>
        <v>0</v>
      </c>
      <c r="P49" s="110">
        <f>SUM(D49,J49)</f>
        <v>0</v>
      </c>
      <c r="Q49" s="109">
        <f t="shared" si="18"/>
        <v>10</v>
      </c>
      <c r="R49" s="110">
        <f t="shared" si="18"/>
        <v>96</v>
      </c>
      <c r="S49" s="110">
        <f>SUM(G49,M49)</f>
        <v>106</v>
      </c>
      <c r="U49"/>
      <c r="V49"/>
    </row>
    <row r="50" spans="1:22" s="97" customFormat="1" ht="12" customHeight="1">
      <c r="A50" s="95" t="s">
        <v>106</v>
      </c>
      <c r="B50" s="109">
        <v>1</v>
      </c>
      <c r="C50" s="110">
        <v>21</v>
      </c>
      <c r="D50" s="199">
        <f>SUM(B50,C50)</f>
        <v>22</v>
      </c>
      <c r="E50" s="109">
        <v>3</v>
      </c>
      <c r="F50" s="110">
        <v>13</v>
      </c>
      <c r="G50" s="199">
        <f>SUM(E50:F50)</f>
        <v>16</v>
      </c>
      <c r="H50" s="109">
        <v>3</v>
      </c>
      <c r="I50" s="110">
        <v>48</v>
      </c>
      <c r="J50" s="199">
        <f>SUM(H50:I50)</f>
        <v>51</v>
      </c>
      <c r="K50" s="111">
        <v>6</v>
      </c>
      <c r="L50" s="110">
        <v>33</v>
      </c>
      <c r="M50" s="199">
        <f>SUM(K50:L50)</f>
        <v>39</v>
      </c>
      <c r="N50" s="109">
        <f>SUM(B50,H50)</f>
        <v>4</v>
      </c>
      <c r="O50" s="110">
        <f>SUM(C50,I50)</f>
        <v>69</v>
      </c>
      <c r="P50" s="110">
        <f>SUM(D50,J50)</f>
        <v>73</v>
      </c>
      <c r="Q50" s="109">
        <f>SUM(E50,K50)</f>
        <v>9</v>
      </c>
      <c r="R50" s="110">
        <f>SUM(F50,L50)</f>
        <v>46</v>
      </c>
      <c r="S50" s="110">
        <f>SUM(G50,M50)</f>
        <v>55</v>
      </c>
      <c r="U50"/>
      <c r="V50"/>
    </row>
    <row r="51" spans="1:22" ht="12.75">
      <c r="A51" s="2"/>
      <c r="B51" s="11"/>
      <c r="C51" s="12"/>
      <c r="D51" s="12"/>
      <c r="E51" s="11"/>
      <c r="F51" s="12"/>
      <c r="G51" s="12"/>
      <c r="H51" s="11"/>
      <c r="I51" s="12"/>
      <c r="J51" s="12"/>
      <c r="K51" s="11"/>
      <c r="L51" s="12"/>
      <c r="M51" s="12"/>
      <c r="N51" s="11"/>
      <c r="O51" s="12"/>
      <c r="P51" s="12"/>
      <c r="Q51" s="11"/>
      <c r="R51" s="12"/>
      <c r="S51" s="12"/>
      <c r="U51"/>
      <c r="V51"/>
    </row>
    <row r="52" spans="1:22" ht="12.75">
      <c r="A52" s="1" t="s">
        <v>45</v>
      </c>
      <c r="B52" s="11"/>
      <c r="C52" s="12"/>
      <c r="D52" s="12"/>
      <c r="E52" s="11"/>
      <c r="F52" s="12"/>
      <c r="G52" s="12"/>
      <c r="H52" s="11"/>
      <c r="I52" s="12"/>
      <c r="J52" s="12"/>
      <c r="K52" s="11"/>
      <c r="L52" s="12"/>
      <c r="M52" s="12"/>
      <c r="N52" s="11"/>
      <c r="O52" s="12"/>
      <c r="P52" s="12"/>
      <c r="Q52" s="11"/>
      <c r="R52" s="12"/>
      <c r="S52" s="12"/>
      <c r="U52"/>
      <c r="V52"/>
    </row>
    <row r="53" spans="1:22" s="97" customFormat="1" ht="12.75">
      <c r="A53" s="95" t="s">
        <v>49</v>
      </c>
      <c r="B53" s="109">
        <v>42</v>
      </c>
      <c r="C53" s="110">
        <v>151</v>
      </c>
      <c r="D53" s="110">
        <f>SUM(B53:C53)</f>
        <v>193</v>
      </c>
      <c r="E53" s="109">
        <v>43</v>
      </c>
      <c r="F53" s="110">
        <v>118</v>
      </c>
      <c r="G53" s="110">
        <f>SUM(E53:F53)</f>
        <v>161</v>
      </c>
      <c r="H53" s="109">
        <v>5</v>
      </c>
      <c r="I53" s="110">
        <v>120</v>
      </c>
      <c r="J53" s="110">
        <f>SUM(H53:I53)</f>
        <v>125</v>
      </c>
      <c r="K53" s="111">
        <v>35</v>
      </c>
      <c r="L53" s="110">
        <v>102</v>
      </c>
      <c r="M53" s="110">
        <f>SUM(K53:L53)</f>
        <v>137</v>
      </c>
      <c r="N53" s="109">
        <f aca="true" t="shared" si="19" ref="N53:P54">SUM(B53,H53)</f>
        <v>47</v>
      </c>
      <c r="O53" s="110">
        <f t="shared" si="19"/>
        <v>271</v>
      </c>
      <c r="P53" s="110">
        <f t="shared" si="19"/>
        <v>318</v>
      </c>
      <c r="Q53" s="109">
        <f aca="true" t="shared" si="20" ref="Q53:S54">SUM(E53,K53)</f>
        <v>78</v>
      </c>
      <c r="R53" s="110">
        <f t="shared" si="20"/>
        <v>220</v>
      </c>
      <c r="S53" s="110">
        <f t="shared" si="20"/>
        <v>298</v>
      </c>
      <c r="U53"/>
      <c r="V53"/>
    </row>
    <row r="54" spans="1:22" s="97" customFormat="1" ht="12" customHeight="1">
      <c r="A54" s="219" t="s">
        <v>72</v>
      </c>
      <c r="B54" s="109">
        <v>59</v>
      </c>
      <c r="C54" s="110">
        <v>204</v>
      </c>
      <c r="D54" s="110">
        <f>SUM(B54:C54)</f>
        <v>263</v>
      </c>
      <c r="E54" s="109">
        <v>25</v>
      </c>
      <c r="F54" s="110">
        <v>69</v>
      </c>
      <c r="G54" s="110">
        <f>SUM(E54:F54)</f>
        <v>94</v>
      </c>
      <c r="H54" s="109">
        <v>15</v>
      </c>
      <c r="I54" s="110">
        <v>168</v>
      </c>
      <c r="J54" s="110">
        <f>SUM(H54:I54)</f>
        <v>183</v>
      </c>
      <c r="K54" s="111">
        <v>33</v>
      </c>
      <c r="L54" s="110">
        <v>101</v>
      </c>
      <c r="M54" s="110">
        <f>SUM(K54:L54)</f>
        <v>134</v>
      </c>
      <c r="N54" s="109">
        <f t="shared" si="19"/>
        <v>74</v>
      </c>
      <c r="O54" s="110">
        <f t="shared" si="19"/>
        <v>372</v>
      </c>
      <c r="P54" s="110">
        <f t="shared" si="19"/>
        <v>446</v>
      </c>
      <c r="Q54" s="109">
        <f t="shared" si="20"/>
        <v>58</v>
      </c>
      <c r="R54" s="110">
        <f t="shared" si="20"/>
        <v>170</v>
      </c>
      <c r="S54" s="110">
        <f t="shared" si="20"/>
        <v>228</v>
      </c>
      <c r="U54"/>
      <c r="V54"/>
    </row>
    <row r="55" spans="1:22" s="97" customFormat="1" ht="12" customHeight="1">
      <c r="A55" s="219" t="s">
        <v>86</v>
      </c>
      <c r="B55" s="109">
        <v>61</v>
      </c>
      <c r="C55" s="110">
        <v>227</v>
      </c>
      <c r="D55" s="110">
        <f>SUM(B55:C55)</f>
        <v>288</v>
      </c>
      <c r="E55" s="109">
        <v>29</v>
      </c>
      <c r="F55" s="110">
        <v>85</v>
      </c>
      <c r="G55" s="110">
        <f>SUM(E55:F55)</f>
        <v>114</v>
      </c>
      <c r="H55" s="109">
        <v>19</v>
      </c>
      <c r="I55" s="110">
        <v>164</v>
      </c>
      <c r="J55" s="110">
        <f>SUM(H55:I55)</f>
        <v>183</v>
      </c>
      <c r="K55" s="111">
        <v>23</v>
      </c>
      <c r="L55" s="110">
        <v>113</v>
      </c>
      <c r="M55" s="110">
        <f>SUM(K55:L55)</f>
        <v>136</v>
      </c>
      <c r="N55" s="109">
        <f aca="true" t="shared" si="21" ref="N55:S55">SUM(B55,H55)</f>
        <v>80</v>
      </c>
      <c r="O55" s="110">
        <f t="shared" si="21"/>
        <v>391</v>
      </c>
      <c r="P55" s="110">
        <f t="shared" si="21"/>
        <v>471</v>
      </c>
      <c r="Q55" s="109">
        <f t="shared" si="21"/>
        <v>52</v>
      </c>
      <c r="R55" s="110">
        <f t="shared" si="21"/>
        <v>198</v>
      </c>
      <c r="S55" s="110">
        <f t="shared" si="21"/>
        <v>250</v>
      </c>
      <c r="U55"/>
      <c r="V55"/>
    </row>
    <row r="56" spans="1:22" s="97" customFormat="1" ht="12" customHeight="1">
      <c r="A56" s="95" t="s">
        <v>106</v>
      </c>
      <c r="B56" s="109">
        <v>59</v>
      </c>
      <c r="C56" s="110">
        <v>230</v>
      </c>
      <c r="D56" s="110">
        <f>SUM(B56:C56)</f>
        <v>289</v>
      </c>
      <c r="E56" s="109">
        <v>22</v>
      </c>
      <c r="F56" s="110">
        <v>96</v>
      </c>
      <c r="G56" s="110">
        <f>SUM(E56:F56)</f>
        <v>118</v>
      </c>
      <c r="H56" s="109">
        <v>20</v>
      </c>
      <c r="I56" s="110">
        <v>167</v>
      </c>
      <c r="J56" s="110">
        <f>SUM(H56:I56)</f>
        <v>187</v>
      </c>
      <c r="K56" s="111">
        <v>12</v>
      </c>
      <c r="L56" s="110">
        <v>78</v>
      </c>
      <c r="M56" s="110">
        <f>SUM(K56:L56)</f>
        <v>90</v>
      </c>
      <c r="N56" s="109">
        <f aca="true" t="shared" si="22" ref="N56:S56">SUM(B56,H56)</f>
        <v>79</v>
      </c>
      <c r="O56" s="110">
        <f t="shared" si="22"/>
        <v>397</v>
      </c>
      <c r="P56" s="110">
        <f t="shared" si="22"/>
        <v>476</v>
      </c>
      <c r="Q56" s="109">
        <f t="shared" si="22"/>
        <v>34</v>
      </c>
      <c r="R56" s="110">
        <f t="shared" si="22"/>
        <v>174</v>
      </c>
      <c r="S56" s="110">
        <f t="shared" si="22"/>
        <v>208</v>
      </c>
      <c r="U56"/>
      <c r="V56"/>
    </row>
    <row r="57" spans="1:22" ht="12.75">
      <c r="A57" s="2"/>
      <c r="B57" s="11"/>
      <c r="C57" s="12"/>
      <c r="D57" s="12"/>
      <c r="E57" s="13"/>
      <c r="F57" s="12"/>
      <c r="G57" s="12"/>
      <c r="H57" s="11"/>
      <c r="I57" s="12"/>
      <c r="J57" s="12"/>
      <c r="K57" s="11"/>
      <c r="L57" s="12"/>
      <c r="M57" s="12"/>
      <c r="N57" s="11"/>
      <c r="O57" s="12"/>
      <c r="P57" s="12"/>
      <c r="Q57" s="11"/>
      <c r="R57" s="12"/>
      <c r="S57" s="12"/>
      <c r="U57"/>
      <c r="V57"/>
    </row>
    <row r="58" spans="1:22" ht="12.75">
      <c r="A58" s="1" t="s">
        <v>46</v>
      </c>
      <c r="B58" s="11"/>
      <c r="C58" s="12"/>
      <c r="D58" s="12"/>
      <c r="E58" s="11"/>
      <c r="F58" s="12"/>
      <c r="G58" s="12"/>
      <c r="H58" s="11"/>
      <c r="I58" s="12"/>
      <c r="J58" s="12"/>
      <c r="K58" s="11"/>
      <c r="L58" s="12"/>
      <c r="M58" s="12"/>
      <c r="N58" s="11"/>
      <c r="O58" s="12"/>
      <c r="P58" s="12"/>
      <c r="Q58" s="11"/>
      <c r="R58" s="12"/>
      <c r="S58" s="12"/>
      <c r="U58"/>
      <c r="V58"/>
    </row>
    <row r="59" spans="1:22" s="97" customFormat="1" ht="11.25" customHeight="1">
      <c r="A59" s="95" t="s">
        <v>49</v>
      </c>
      <c r="B59" s="109">
        <v>3</v>
      </c>
      <c r="C59" s="110">
        <v>10</v>
      </c>
      <c r="D59" s="110">
        <f>SUM(B59:C59)</f>
        <v>13</v>
      </c>
      <c r="E59" s="109">
        <v>2</v>
      </c>
      <c r="F59" s="110">
        <v>4</v>
      </c>
      <c r="G59" s="110">
        <f>SUM(E59:F59)</f>
        <v>6</v>
      </c>
      <c r="H59" s="109">
        <v>1</v>
      </c>
      <c r="I59" s="110">
        <v>13</v>
      </c>
      <c r="J59" s="110">
        <f>SUM(H59:I59)</f>
        <v>14</v>
      </c>
      <c r="K59" s="111">
        <v>3</v>
      </c>
      <c r="L59" s="110">
        <v>12</v>
      </c>
      <c r="M59" s="110">
        <f>SUM(K59:L59)</f>
        <v>15</v>
      </c>
      <c r="N59" s="109">
        <f>SUM(B59,H59)</f>
        <v>4</v>
      </c>
      <c r="O59" s="110">
        <f>SUM(C59,I59)</f>
        <v>23</v>
      </c>
      <c r="P59" s="110">
        <f aca="true" t="shared" si="23" ref="P59:R60">SUM(D59,J59)</f>
        <v>27</v>
      </c>
      <c r="Q59" s="109">
        <f t="shared" si="23"/>
        <v>5</v>
      </c>
      <c r="R59" s="110">
        <f t="shared" si="23"/>
        <v>16</v>
      </c>
      <c r="S59" s="110">
        <f>SUM(G59,M59)</f>
        <v>21</v>
      </c>
      <c r="U59"/>
      <c r="V59"/>
    </row>
    <row r="60" spans="1:22" s="97" customFormat="1" ht="12" customHeight="1">
      <c r="A60" s="219" t="s">
        <v>72</v>
      </c>
      <c r="B60" s="109">
        <v>5</v>
      </c>
      <c r="C60" s="110">
        <v>15</v>
      </c>
      <c r="D60" s="110">
        <f>SUM(B60:C60)</f>
        <v>20</v>
      </c>
      <c r="E60" s="109">
        <v>0</v>
      </c>
      <c r="F60" s="110">
        <v>3</v>
      </c>
      <c r="G60" s="110">
        <f>SUM(E60:F60)</f>
        <v>3</v>
      </c>
      <c r="H60" s="109">
        <v>1</v>
      </c>
      <c r="I60" s="110">
        <v>16</v>
      </c>
      <c r="J60" s="110">
        <f>SUM(H60:I60)</f>
        <v>17</v>
      </c>
      <c r="K60" s="111">
        <v>0</v>
      </c>
      <c r="L60" s="110">
        <v>6</v>
      </c>
      <c r="M60" s="110">
        <f>SUM(K60:L60)</f>
        <v>6</v>
      </c>
      <c r="N60" s="109">
        <f>SUM(B60,H60)</f>
        <v>6</v>
      </c>
      <c r="O60" s="110">
        <f>SUM(C60,I60)</f>
        <v>31</v>
      </c>
      <c r="P60" s="110">
        <f t="shared" si="23"/>
        <v>37</v>
      </c>
      <c r="Q60" s="109">
        <f t="shared" si="23"/>
        <v>0</v>
      </c>
      <c r="R60" s="110">
        <f t="shared" si="23"/>
        <v>9</v>
      </c>
      <c r="S60" s="110">
        <f>SUM(G60,M60)</f>
        <v>9</v>
      </c>
      <c r="U60"/>
      <c r="V60"/>
    </row>
    <row r="61" spans="1:22" s="97" customFormat="1" ht="12" customHeight="1">
      <c r="A61" s="219" t="s">
        <v>86</v>
      </c>
      <c r="B61" s="109">
        <v>1</v>
      </c>
      <c r="C61" s="110">
        <v>14</v>
      </c>
      <c r="D61" s="110">
        <f>SUM(B61:C61)</f>
        <v>15</v>
      </c>
      <c r="E61" s="109">
        <v>1</v>
      </c>
      <c r="F61" s="110">
        <v>7</v>
      </c>
      <c r="G61" s="110">
        <f>SUM(E61:F61)</f>
        <v>8</v>
      </c>
      <c r="H61" s="109">
        <v>2</v>
      </c>
      <c r="I61" s="110">
        <v>12</v>
      </c>
      <c r="J61" s="110">
        <f>SUM(H61:I61)</f>
        <v>14</v>
      </c>
      <c r="K61" s="111">
        <v>1</v>
      </c>
      <c r="L61" s="110">
        <v>9</v>
      </c>
      <c r="M61" s="110">
        <f>SUM(K61:L61)</f>
        <v>10</v>
      </c>
      <c r="N61" s="109">
        <f aca="true" t="shared" si="24" ref="N61:R62">SUM(B61,H61)</f>
        <v>3</v>
      </c>
      <c r="O61" s="110">
        <f t="shared" si="24"/>
        <v>26</v>
      </c>
      <c r="P61" s="110">
        <f t="shared" si="24"/>
        <v>29</v>
      </c>
      <c r="Q61" s="109">
        <f t="shared" si="24"/>
        <v>2</v>
      </c>
      <c r="R61" s="110">
        <f t="shared" si="24"/>
        <v>16</v>
      </c>
      <c r="S61" s="110">
        <f>SUM(G61,M61)</f>
        <v>18</v>
      </c>
      <c r="U61"/>
      <c r="V61"/>
    </row>
    <row r="62" spans="1:22" s="97" customFormat="1" ht="12" customHeight="1">
      <c r="A62" s="95" t="s">
        <v>106</v>
      </c>
      <c r="B62" s="109">
        <v>2</v>
      </c>
      <c r="C62" s="110">
        <v>18</v>
      </c>
      <c r="D62" s="110">
        <f>SUM(B62:C62)</f>
        <v>20</v>
      </c>
      <c r="E62" s="109">
        <v>2</v>
      </c>
      <c r="F62" s="110">
        <v>15</v>
      </c>
      <c r="G62" s="110">
        <f>SUM(E62:F62)</f>
        <v>17</v>
      </c>
      <c r="H62" s="109">
        <v>1</v>
      </c>
      <c r="I62" s="110">
        <v>13</v>
      </c>
      <c r="J62" s="110">
        <f>SUM(H62:I62)</f>
        <v>14</v>
      </c>
      <c r="K62" s="111">
        <v>0</v>
      </c>
      <c r="L62" s="110">
        <v>11</v>
      </c>
      <c r="M62" s="110">
        <f>SUM(K62:L62)</f>
        <v>11</v>
      </c>
      <c r="N62" s="109">
        <f t="shared" si="24"/>
        <v>3</v>
      </c>
      <c r="O62" s="110">
        <f t="shared" si="24"/>
        <v>31</v>
      </c>
      <c r="P62" s="110">
        <f t="shared" si="24"/>
        <v>34</v>
      </c>
      <c r="Q62" s="109">
        <f t="shared" si="24"/>
        <v>2</v>
      </c>
      <c r="R62" s="110">
        <f t="shared" si="24"/>
        <v>26</v>
      </c>
      <c r="S62" s="110">
        <f>SUM(G62,M62)</f>
        <v>28</v>
      </c>
      <c r="U62"/>
      <c r="V62"/>
    </row>
    <row r="63" spans="1:22" s="97" customFormat="1" ht="12" customHeight="1">
      <c r="A63" s="219"/>
      <c r="B63" s="109"/>
      <c r="C63" s="110"/>
      <c r="D63" s="110"/>
      <c r="E63" s="109"/>
      <c r="F63" s="110"/>
      <c r="G63" s="110"/>
      <c r="H63" s="109"/>
      <c r="I63" s="110"/>
      <c r="J63" s="110"/>
      <c r="K63" s="111"/>
      <c r="L63" s="110"/>
      <c r="M63" s="110"/>
      <c r="N63" s="109"/>
      <c r="O63" s="110"/>
      <c r="P63" s="110"/>
      <c r="Q63" s="109"/>
      <c r="R63" s="110"/>
      <c r="S63" s="110"/>
      <c r="U63"/>
      <c r="V63"/>
    </row>
    <row r="64" spans="1:22" ht="12.75">
      <c r="A64" s="1" t="s">
        <v>15</v>
      </c>
      <c r="B64" s="11"/>
      <c r="C64" s="12"/>
      <c r="D64" s="12"/>
      <c r="E64" s="11"/>
      <c r="F64" s="12"/>
      <c r="G64" s="12"/>
      <c r="H64" s="11"/>
      <c r="I64" s="12"/>
      <c r="J64" s="12"/>
      <c r="K64" s="11"/>
      <c r="L64" s="12"/>
      <c r="M64" s="12"/>
      <c r="N64" s="11"/>
      <c r="O64" s="12"/>
      <c r="P64" s="12"/>
      <c r="Q64" s="11"/>
      <c r="R64" s="12"/>
      <c r="S64" s="12"/>
      <c r="U64"/>
      <c r="V64"/>
    </row>
    <row r="65" spans="1:22" s="97" customFormat="1" ht="12.75">
      <c r="A65" s="95" t="s">
        <v>49</v>
      </c>
      <c r="B65" s="109">
        <v>17</v>
      </c>
      <c r="C65" s="110">
        <v>26</v>
      </c>
      <c r="D65" s="110">
        <f>SUM(B65:C65)</f>
        <v>43</v>
      </c>
      <c r="E65" s="109">
        <v>7</v>
      </c>
      <c r="F65" s="110">
        <v>2</v>
      </c>
      <c r="G65" s="110">
        <f>SUM(E65:F65)</f>
        <v>9</v>
      </c>
      <c r="H65" s="109">
        <v>25</v>
      </c>
      <c r="I65" s="110">
        <v>124</v>
      </c>
      <c r="J65" s="110">
        <f>SUM(H65:I65)</f>
        <v>149</v>
      </c>
      <c r="K65" s="111">
        <v>36</v>
      </c>
      <c r="L65" s="110">
        <v>95</v>
      </c>
      <c r="M65" s="110">
        <f>SUM(K65:L65)</f>
        <v>131</v>
      </c>
      <c r="N65" s="109">
        <f aca="true" t="shared" si="25" ref="N65:S66">SUM(B65,H65)</f>
        <v>42</v>
      </c>
      <c r="O65" s="110">
        <f t="shared" si="25"/>
        <v>150</v>
      </c>
      <c r="P65" s="110">
        <f t="shared" si="25"/>
        <v>192</v>
      </c>
      <c r="Q65" s="109">
        <f t="shared" si="25"/>
        <v>43</v>
      </c>
      <c r="R65" s="110">
        <f t="shared" si="25"/>
        <v>97</v>
      </c>
      <c r="S65" s="110">
        <f t="shared" si="25"/>
        <v>140</v>
      </c>
      <c r="U65"/>
      <c r="V65"/>
    </row>
    <row r="66" spans="1:22" s="97" customFormat="1" ht="12" customHeight="1">
      <c r="A66" s="219" t="s">
        <v>72</v>
      </c>
      <c r="B66" s="109">
        <v>20</v>
      </c>
      <c r="C66" s="110">
        <v>28</v>
      </c>
      <c r="D66" s="110">
        <f>SUM(B66:C66)</f>
        <v>48</v>
      </c>
      <c r="E66" s="109">
        <v>1</v>
      </c>
      <c r="F66" s="110">
        <v>7</v>
      </c>
      <c r="G66" s="110">
        <f>SUM(E66:F66)</f>
        <v>8</v>
      </c>
      <c r="H66" s="109">
        <v>30</v>
      </c>
      <c r="I66" s="110">
        <v>146</v>
      </c>
      <c r="J66" s="110">
        <f>SUM(H66:I66)</f>
        <v>176</v>
      </c>
      <c r="K66" s="111">
        <v>28</v>
      </c>
      <c r="L66" s="110">
        <v>81</v>
      </c>
      <c r="M66" s="110">
        <f>SUM(K66:L66)</f>
        <v>109</v>
      </c>
      <c r="N66" s="109">
        <f t="shared" si="25"/>
        <v>50</v>
      </c>
      <c r="O66" s="110">
        <f t="shared" si="25"/>
        <v>174</v>
      </c>
      <c r="P66" s="110">
        <f t="shared" si="25"/>
        <v>224</v>
      </c>
      <c r="Q66" s="109">
        <f t="shared" si="25"/>
        <v>29</v>
      </c>
      <c r="R66" s="110">
        <f t="shared" si="25"/>
        <v>88</v>
      </c>
      <c r="S66" s="110">
        <f t="shared" si="25"/>
        <v>117</v>
      </c>
      <c r="U66"/>
      <c r="V66"/>
    </row>
    <row r="67" spans="1:22" s="97" customFormat="1" ht="12" customHeight="1">
      <c r="A67" s="219" t="s">
        <v>86</v>
      </c>
      <c r="B67" s="109">
        <v>26</v>
      </c>
      <c r="C67" s="110">
        <v>48</v>
      </c>
      <c r="D67" s="110">
        <f>SUM(B67:C67)</f>
        <v>74</v>
      </c>
      <c r="E67" s="109">
        <v>6</v>
      </c>
      <c r="F67" s="110">
        <v>8</v>
      </c>
      <c r="G67" s="110">
        <f>SUM(E67:F67)</f>
        <v>14</v>
      </c>
      <c r="H67" s="109">
        <v>19</v>
      </c>
      <c r="I67" s="110">
        <v>121</v>
      </c>
      <c r="J67" s="110">
        <f>SUM(H67:I67)</f>
        <v>140</v>
      </c>
      <c r="K67" s="111">
        <v>27</v>
      </c>
      <c r="L67" s="110">
        <v>82</v>
      </c>
      <c r="M67" s="110">
        <f>SUM(K67:L67)</f>
        <v>109</v>
      </c>
      <c r="N67" s="109">
        <f aca="true" t="shared" si="26" ref="N67:S67">SUM(B67,H67)</f>
        <v>45</v>
      </c>
      <c r="O67" s="110">
        <f t="shared" si="26"/>
        <v>169</v>
      </c>
      <c r="P67" s="110">
        <f t="shared" si="26"/>
        <v>214</v>
      </c>
      <c r="Q67" s="109">
        <f t="shared" si="26"/>
        <v>33</v>
      </c>
      <c r="R67" s="110">
        <f t="shared" si="26"/>
        <v>90</v>
      </c>
      <c r="S67" s="110">
        <f t="shared" si="26"/>
        <v>123</v>
      </c>
      <c r="U67"/>
      <c r="V67"/>
    </row>
    <row r="68" spans="1:22" s="97" customFormat="1" ht="12" customHeight="1">
      <c r="A68" s="95" t="s">
        <v>106</v>
      </c>
      <c r="B68" s="109">
        <v>25</v>
      </c>
      <c r="C68" s="110">
        <v>49</v>
      </c>
      <c r="D68" s="110">
        <f>SUM(B68:C68)</f>
        <v>74</v>
      </c>
      <c r="E68" s="109">
        <v>4</v>
      </c>
      <c r="F68" s="110">
        <v>4</v>
      </c>
      <c r="G68" s="110">
        <f>SUM(E68:F68)</f>
        <v>8</v>
      </c>
      <c r="H68" s="109">
        <v>23</v>
      </c>
      <c r="I68" s="110">
        <v>125</v>
      </c>
      <c r="J68" s="110">
        <f>SUM(H68:I68)</f>
        <v>148</v>
      </c>
      <c r="K68" s="111">
        <v>26</v>
      </c>
      <c r="L68" s="110">
        <v>72</v>
      </c>
      <c r="M68" s="110">
        <f>SUM(K68:L68)</f>
        <v>98</v>
      </c>
      <c r="N68" s="109">
        <f aca="true" t="shared" si="27" ref="N68:S68">SUM(B68,H68)</f>
        <v>48</v>
      </c>
      <c r="O68" s="110">
        <f t="shared" si="27"/>
        <v>174</v>
      </c>
      <c r="P68" s="110">
        <f t="shared" si="27"/>
        <v>222</v>
      </c>
      <c r="Q68" s="109">
        <f t="shared" si="27"/>
        <v>30</v>
      </c>
      <c r="R68" s="110">
        <f t="shared" si="27"/>
        <v>76</v>
      </c>
      <c r="S68" s="110">
        <f t="shared" si="27"/>
        <v>106</v>
      </c>
      <c r="U68"/>
      <c r="V68"/>
    </row>
    <row r="69" spans="1:22" ht="12.75">
      <c r="A69" s="19"/>
      <c r="B69" s="23"/>
      <c r="C69" s="24"/>
      <c r="D69" s="24"/>
      <c r="E69" s="23"/>
      <c r="F69" s="24"/>
      <c r="G69" s="24"/>
      <c r="H69" s="23"/>
      <c r="I69" s="24"/>
      <c r="J69" s="24"/>
      <c r="K69" s="23"/>
      <c r="L69" s="24"/>
      <c r="M69" s="24"/>
      <c r="N69" s="23"/>
      <c r="O69" s="24"/>
      <c r="P69" s="24"/>
      <c r="Q69" s="23"/>
      <c r="R69" s="24"/>
      <c r="S69" s="24"/>
      <c r="U69"/>
      <c r="V69"/>
    </row>
    <row r="70" spans="1:22" ht="12.75">
      <c r="A70" s="1" t="s">
        <v>122</v>
      </c>
      <c r="B70" s="11"/>
      <c r="C70" s="12"/>
      <c r="D70" s="12"/>
      <c r="E70" s="11"/>
      <c r="F70" s="12"/>
      <c r="G70" s="12"/>
      <c r="H70" s="11"/>
      <c r="I70" s="12"/>
      <c r="J70" s="12"/>
      <c r="K70" s="11"/>
      <c r="L70" s="12"/>
      <c r="M70" s="12"/>
      <c r="N70" s="11"/>
      <c r="O70" s="12"/>
      <c r="P70" s="12"/>
      <c r="Q70" s="11"/>
      <c r="R70" s="12"/>
      <c r="S70" s="12"/>
      <c r="U70"/>
      <c r="V70"/>
    </row>
    <row r="71" spans="1:22" s="97" customFormat="1" ht="12.75">
      <c r="A71" s="95" t="s">
        <v>49</v>
      </c>
      <c r="B71" s="109">
        <v>844</v>
      </c>
      <c r="C71" s="110">
        <v>1436</v>
      </c>
      <c r="D71" s="110">
        <f>SUM(B71:C71)</f>
        <v>2280</v>
      </c>
      <c r="E71" s="109">
        <v>287</v>
      </c>
      <c r="F71" s="110">
        <v>808</v>
      </c>
      <c r="G71" s="110">
        <f>SUM(E71:F71)</f>
        <v>1095</v>
      </c>
      <c r="H71" s="109">
        <v>166</v>
      </c>
      <c r="I71" s="110">
        <v>1664</v>
      </c>
      <c r="J71" s="110">
        <f>SUM(H71:I71)</f>
        <v>1830</v>
      </c>
      <c r="K71" s="111">
        <v>134</v>
      </c>
      <c r="L71" s="110">
        <v>884</v>
      </c>
      <c r="M71" s="110">
        <f>SUM(K71:L71)</f>
        <v>1018</v>
      </c>
      <c r="N71" s="109">
        <f>SUM(B71,H71)</f>
        <v>1010</v>
      </c>
      <c r="O71" s="110">
        <f aca="true" t="shared" si="28" ref="O71:S72">SUM(C71,I71)</f>
        <v>3100</v>
      </c>
      <c r="P71" s="110">
        <f t="shared" si="28"/>
        <v>4110</v>
      </c>
      <c r="Q71" s="109">
        <f t="shared" si="28"/>
        <v>421</v>
      </c>
      <c r="R71" s="110">
        <f t="shared" si="28"/>
        <v>1692</v>
      </c>
      <c r="S71" s="110">
        <f t="shared" si="28"/>
        <v>2113</v>
      </c>
      <c r="U71"/>
      <c r="V71"/>
    </row>
    <row r="72" spans="1:22" s="97" customFormat="1" ht="12" customHeight="1">
      <c r="A72" s="219" t="s">
        <v>72</v>
      </c>
      <c r="B72" s="109">
        <v>798</v>
      </c>
      <c r="C72" s="110">
        <v>1510</v>
      </c>
      <c r="D72" s="110">
        <f>SUM(B72:C72)</f>
        <v>2308</v>
      </c>
      <c r="E72" s="109">
        <v>221</v>
      </c>
      <c r="F72" s="110">
        <v>713</v>
      </c>
      <c r="G72" s="110">
        <f>SUM(E72:F72)</f>
        <v>934</v>
      </c>
      <c r="H72" s="109">
        <v>176</v>
      </c>
      <c r="I72" s="110">
        <v>1782</v>
      </c>
      <c r="J72" s="110">
        <f>SUM(H72:I72)</f>
        <v>1958</v>
      </c>
      <c r="K72" s="111">
        <v>119</v>
      </c>
      <c r="L72" s="110">
        <v>950</v>
      </c>
      <c r="M72" s="110">
        <f>SUM(K72:L72)</f>
        <v>1069</v>
      </c>
      <c r="N72" s="109">
        <f>SUM(B72,H72)</f>
        <v>974</v>
      </c>
      <c r="O72" s="110">
        <f t="shared" si="28"/>
        <v>3292</v>
      </c>
      <c r="P72" s="110">
        <f t="shared" si="28"/>
        <v>4266</v>
      </c>
      <c r="Q72" s="109">
        <f t="shared" si="28"/>
        <v>340</v>
      </c>
      <c r="R72" s="110">
        <f t="shared" si="28"/>
        <v>1663</v>
      </c>
      <c r="S72" s="110">
        <f t="shared" si="28"/>
        <v>2003</v>
      </c>
      <c r="U72"/>
      <c r="V72"/>
    </row>
    <row r="73" spans="1:22" s="97" customFormat="1" ht="12" customHeight="1">
      <c r="A73" s="219" t="s">
        <v>86</v>
      </c>
      <c r="B73" s="109">
        <v>741</v>
      </c>
      <c r="C73" s="110">
        <v>1449</v>
      </c>
      <c r="D73" s="206">
        <f>SUM(B73:C73)</f>
        <v>2190</v>
      </c>
      <c r="E73" s="162">
        <v>226</v>
      </c>
      <c r="F73" s="110">
        <v>701</v>
      </c>
      <c r="G73" s="206">
        <f>SUM(E73:F73)</f>
        <v>927</v>
      </c>
      <c r="H73" s="162">
        <v>181</v>
      </c>
      <c r="I73" s="110">
        <v>1883</v>
      </c>
      <c r="J73" s="206">
        <f>SUM(H73:I73)</f>
        <v>2064</v>
      </c>
      <c r="K73" s="163">
        <v>123</v>
      </c>
      <c r="L73" s="110">
        <v>944</v>
      </c>
      <c r="M73" s="110">
        <f>SUM(K73:L73)</f>
        <v>1067</v>
      </c>
      <c r="N73" s="109">
        <f>SUM(B73,H73)</f>
        <v>922</v>
      </c>
      <c r="O73" s="110">
        <f aca="true" t="shared" si="29" ref="O73:S74">SUM(C73,I73)</f>
        <v>3332</v>
      </c>
      <c r="P73" s="110">
        <f t="shared" si="29"/>
        <v>4254</v>
      </c>
      <c r="Q73" s="109">
        <f t="shared" si="29"/>
        <v>349</v>
      </c>
      <c r="R73" s="110">
        <f t="shared" si="29"/>
        <v>1645</v>
      </c>
      <c r="S73" s="110">
        <f t="shared" si="29"/>
        <v>1994</v>
      </c>
      <c r="U73"/>
      <c r="V73"/>
    </row>
    <row r="74" spans="1:22" s="97" customFormat="1" ht="12" customHeight="1">
      <c r="A74" s="232" t="s">
        <v>106</v>
      </c>
      <c r="B74" s="162">
        <v>667</v>
      </c>
      <c r="C74" s="110">
        <v>1331</v>
      </c>
      <c r="D74" s="206">
        <f>SUM(B74:C74)</f>
        <v>1998</v>
      </c>
      <c r="E74" s="162">
        <v>191</v>
      </c>
      <c r="F74" s="110">
        <v>655</v>
      </c>
      <c r="G74" s="206">
        <f>SUM(E74:F74)</f>
        <v>846</v>
      </c>
      <c r="H74" s="162">
        <v>204</v>
      </c>
      <c r="I74" s="110">
        <v>2006</v>
      </c>
      <c r="J74" s="206">
        <f>SUM(H74:I74)</f>
        <v>2210</v>
      </c>
      <c r="K74" s="163">
        <v>136</v>
      </c>
      <c r="L74" s="110">
        <v>979</v>
      </c>
      <c r="M74" s="206">
        <f>SUM(K74:L74)</f>
        <v>1115</v>
      </c>
      <c r="N74" s="162">
        <f>SUM(B74,H74)</f>
        <v>871</v>
      </c>
      <c r="O74" s="110">
        <f t="shared" si="29"/>
        <v>3337</v>
      </c>
      <c r="P74" s="206">
        <f t="shared" si="29"/>
        <v>4208</v>
      </c>
      <c r="Q74" s="162">
        <f t="shared" si="29"/>
        <v>327</v>
      </c>
      <c r="R74" s="110">
        <f t="shared" si="29"/>
        <v>1634</v>
      </c>
      <c r="S74" s="110">
        <f t="shared" si="29"/>
        <v>1961</v>
      </c>
      <c r="U74"/>
      <c r="V74"/>
    </row>
    <row r="75" ht="12.75" customHeight="1"/>
    <row r="76" spans="1:19" ht="12.75">
      <c r="A76" s="174" t="s">
        <v>121</v>
      </c>
      <c r="B76" s="12"/>
      <c r="C76" s="12"/>
      <c r="D76" s="12"/>
      <c r="E76" s="12"/>
      <c r="F76" s="12"/>
      <c r="G76" s="12"/>
      <c r="H76" s="12"/>
      <c r="I76" s="12"/>
      <c r="J76" s="12"/>
      <c r="K76" s="12"/>
      <c r="L76" s="12"/>
      <c r="M76" s="12"/>
      <c r="N76" s="12"/>
      <c r="O76" s="12"/>
      <c r="P76" s="12"/>
      <c r="Q76" s="12"/>
      <c r="R76" s="12"/>
      <c r="S76" s="12"/>
    </row>
    <row r="77" spans="1:19" ht="12.75">
      <c r="A77" s="211"/>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sheetData>
  <sheetProtection/>
  <printOptions horizontalCentered="1"/>
  <pageMargins left="0" right="0" top="0.3937007874015748" bottom="0.1968503937007874" header="0.5118110236220472" footer="0.5118110236220472"/>
  <pageSetup fitToHeight="2" fitToWidth="1" horizontalDpi="300" verticalDpi="300" orientation="landscape" paperSize="9" scale="83"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tabColor theme="2"/>
    <pageSetUpPr fitToPage="1"/>
  </sheetPr>
  <dimension ref="A1:I71"/>
  <sheetViews>
    <sheetView zoomScalePageLayoutView="0" workbookViewId="0" topLeftCell="A1">
      <selection activeCell="A80" sqref="A80"/>
    </sheetView>
  </sheetViews>
  <sheetFormatPr defaultColWidth="9.28125" defaultRowHeight="12.75"/>
  <cols>
    <col min="1" max="1" width="32.28125" style="130" customWidth="1"/>
    <col min="2" max="5" width="9.421875" style="130" customWidth="1"/>
    <col min="6" max="16384" width="9.28125" style="130" customWidth="1"/>
  </cols>
  <sheetData>
    <row r="1" ht="12.75">
      <c r="A1" s="129" t="s">
        <v>101</v>
      </c>
    </row>
    <row r="2" spans="1:8" ht="12.75">
      <c r="A2" s="244" t="s">
        <v>20</v>
      </c>
      <c r="B2" s="244"/>
      <c r="C2" s="244"/>
      <c r="D2" s="244"/>
      <c r="E2" s="244"/>
      <c r="F2" s="244"/>
      <c r="G2" s="244"/>
      <c r="H2" s="244"/>
    </row>
    <row r="3" spans="1:5" ht="12.75">
      <c r="A3" s="132"/>
      <c r="B3" s="133"/>
      <c r="C3" s="133"/>
      <c r="D3" s="133"/>
      <c r="E3" s="133"/>
    </row>
    <row r="4" spans="1:8" ht="12.75">
      <c r="A4" s="244" t="s">
        <v>47</v>
      </c>
      <c r="B4" s="244"/>
      <c r="C4" s="244"/>
      <c r="D4" s="244"/>
      <c r="E4" s="244"/>
      <c r="F4" s="244"/>
      <c r="G4" s="244"/>
      <c r="H4" s="244"/>
    </row>
    <row r="5" ht="13.5" thickBot="1">
      <c r="A5" s="131"/>
    </row>
    <row r="6" spans="1:9" ht="12.75">
      <c r="A6" s="134"/>
      <c r="B6" s="135"/>
      <c r="C6" s="135"/>
      <c r="D6" s="135"/>
      <c r="E6" s="135"/>
      <c r="F6" s="135"/>
      <c r="G6" s="135"/>
      <c r="H6" s="135"/>
      <c r="I6" s="135"/>
    </row>
    <row r="7" spans="1:9" s="138" customFormat="1" ht="12.75">
      <c r="A7" s="136"/>
      <c r="B7" s="137" t="s">
        <v>65</v>
      </c>
      <c r="C7" s="218" t="s">
        <v>66</v>
      </c>
      <c r="D7" s="218" t="s">
        <v>67</v>
      </c>
      <c r="E7" s="218" t="s">
        <v>78</v>
      </c>
      <c r="F7" s="218" t="s">
        <v>79</v>
      </c>
      <c r="G7" s="137" t="s">
        <v>80</v>
      </c>
      <c r="H7" s="137" t="s">
        <v>100</v>
      </c>
      <c r="I7" s="137" t="s">
        <v>103</v>
      </c>
    </row>
    <row r="8" spans="1:9" ht="12.75">
      <c r="A8" s="139"/>
      <c r="B8" s="140"/>
      <c r="C8" s="140"/>
      <c r="D8" s="140"/>
      <c r="E8" s="140"/>
      <c r="F8" s="140"/>
      <c r="G8" s="140"/>
      <c r="H8" s="140"/>
      <c r="I8" s="140"/>
    </row>
    <row r="9" spans="1:9" ht="12.75">
      <c r="A9" s="129"/>
      <c r="B9" s="141"/>
      <c r="C9" s="141"/>
      <c r="D9" s="141"/>
      <c r="E9" s="141"/>
      <c r="F9" s="141"/>
      <c r="G9" s="141"/>
      <c r="H9" s="141"/>
      <c r="I9" s="141"/>
    </row>
    <row r="10" spans="1:9" ht="12.75">
      <c r="A10" s="129" t="s">
        <v>7</v>
      </c>
      <c r="B10" s="140"/>
      <c r="C10" s="140"/>
      <c r="D10" s="140"/>
      <c r="E10" s="140"/>
      <c r="F10" s="140"/>
      <c r="G10" s="140"/>
      <c r="H10" s="140"/>
      <c r="I10" s="140"/>
    </row>
    <row r="11" spans="1:9" ht="12.75">
      <c r="A11" s="131" t="s">
        <v>18</v>
      </c>
      <c r="B11" s="142">
        <v>3869</v>
      </c>
      <c r="C11" s="142">
        <v>4135</v>
      </c>
      <c r="D11" s="142">
        <v>4158</v>
      </c>
      <c r="E11" s="142">
        <v>4329</v>
      </c>
      <c r="F11" s="142">
        <v>4353</v>
      </c>
      <c r="G11" s="142">
        <v>4403</v>
      </c>
      <c r="H11" s="142">
        <v>4476</v>
      </c>
      <c r="I11" s="142">
        <v>4515</v>
      </c>
    </row>
    <row r="12" spans="1:9" ht="12.75">
      <c r="A12" s="131" t="s">
        <v>19</v>
      </c>
      <c r="B12" s="142">
        <v>2080</v>
      </c>
      <c r="C12" s="142">
        <v>2016</v>
      </c>
      <c r="D12" s="142">
        <v>2052</v>
      </c>
      <c r="E12" s="142">
        <v>2070</v>
      </c>
      <c r="F12" s="142">
        <v>2172</v>
      </c>
      <c r="G12" s="142">
        <v>2246</v>
      </c>
      <c r="H12" s="142">
        <v>2280</v>
      </c>
      <c r="I12" s="142">
        <v>2121</v>
      </c>
    </row>
    <row r="13" spans="1:9" s="145" customFormat="1" ht="12.75">
      <c r="A13" s="143" t="s">
        <v>4</v>
      </c>
      <c r="B13" s="144">
        <f aca="true" t="shared" si="0" ref="B13:I13">SUM(B11:B12)</f>
        <v>5949</v>
      </c>
      <c r="C13" s="144">
        <f t="shared" si="0"/>
        <v>6151</v>
      </c>
      <c r="D13" s="144">
        <f t="shared" si="0"/>
        <v>6210</v>
      </c>
      <c r="E13" s="144">
        <f t="shared" si="0"/>
        <v>6399</v>
      </c>
      <c r="F13" s="144">
        <f t="shared" si="0"/>
        <v>6525</v>
      </c>
      <c r="G13" s="144">
        <f t="shared" si="0"/>
        <v>6649</v>
      </c>
      <c r="H13" s="144">
        <f t="shared" si="0"/>
        <v>6756</v>
      </c>
      <c r="I13" s="144">
        <f t="shared" si="0"/>
        <v>6636</v>
      </c>
    </row>
    <row r="14" spans="1:9" ht="12.75">
      <c r="A14" s="146"/>
      <c r="B14" s="142"/>
      <c r="C14" s="142"/>
      <c r="D14" s="142"/>
      <c r="E14" s="142"/>
      <c r="F14" s="142"/>
      <c r="G14" s="142"/>
      <c r="H14" s="142"/>
      <c r="I14" s="142"/>
    </row>
    <row r="15" spans="1:9" ht="12.75">
      <c r="A15" s="129" t="s">
        <v>11</v>
      </c>
      <c r="B15" s="142"/>
      <c r="C15" s="142"/>
      <c r="D15" s="142"/>
      <c r="E15" s="142"/>
      <c r="F15" s="142"/>
      <c r="G15" s="142"/>
      <c r="H15" s="142"/>
      <c r="I15" s="142"/>
    </row>
    <row r="16" spans="1:9" ht="12.75">
      <c r="A16" s="131" t="s">
        <v>18</v>
      </c>
      <c r="B16" s="142">
        <v>1689</v>
      </c>
      <c r="C16" s="142">
        <v>1855</v>
      </c>
      <c r="D16" s="142">
        <v>1890</v>
      </c>
      <c r="E16" s="142">
        <v>1911</v>
      </c>
      <c r="F16" s="142">
        <v>1944</v>
      </c>
      <c r="G16" s="142">
        <v>1975</v>
      </c>
      <c r="H16" s="142">
        <v>1997</v>
      </c>
      <c r="I16" s="142">
        <v>2048</v>
      </c>
    </row>
    <row r="17" spans="1:9" ht="12.75">
      <c r="A17" s="131" t="s">
        <v>19</v>
      </c>
      <c r="B17" s="142">
        <v>1021</v>
      </c>
      <c r="C17" s="142">
        <v>852</v>
      </c>
      <c r="D17" s="142">
        <v>883</v>
      </c>
      <c r="E17" s="142">
        <v>880</v>
      </c>
      <c r="F17" s="142">
        <v>932</v>
      </c>
      <c r="G17" s="142">
        <v>956</v>
      </c>
      <c r="H17" s="142">
        <v>972</v>
      </c>
      <c r="I17" s="142">
        <v>996</v>
      </c>
    </row>
    <row r="18" spans="1:9" s="145" customFormat="1" ht="12.75">
      <c r="A18" s="143" t="s">
        <v>4</v>
      </c>
      <c r="B18" s="144">
        <f aca="true" t="shared" si="1" ref="B18:I18">SUM(B16:B17)</f>
        <v>2710</v>
      </c>
      <c r="C18" s="144">
        <f t="shared" si="1"/>
        <v>2707</v>
      </c>
      <c r="D18" s="144">
        <f t="shared" si="1"/>
        <v>2773</v>
      </c>
      <c r="E18" s="144">
        <f t="shared" si="1"/>
        <v>2791</v>
      </c>
      <c r="F18" s="144">
        <f t="shared" si="1"/>
        <v>2876</v>
      </c>
      <c r="G18" s="144">
        <f t="shared" si="1"/>
        <v>2931</v>
      </c>
      <c r="H18" s="144">
        <f t="shared" si="1"/>
        <v>2969</v>
      </c>
      <c r="I18" s="144">
        <f t="shared" si="1"/>
        <v>3044</v>
      </c>
    </row>
    <row r="19" spans="1:9" ht="12.75">
      <c r="A19" s="131"/>
      <c r="B19" s="142"/>
      <c r="C19" s="142"/>
      <c r="D19" s="142"/>
      <c r="E19" s="142"/>
      <c r="F19" s="142"/>
      <c r="G19" s="142"/>
      <c r="H19" s="142"/>
      <c r="I19" s="142"/>
    </row>
    <row r="20" spans="1:9" ht="12.75">
      <c r="A20" s="129" t="s">
        <v>12</v>
      </c>
      <c r="B20" s="142"/>
      <c r="C20" s="142"/>
      <c r="D20" s="142"/>
      <c r="E20" s="142"/>
      <c r="F20" s="142"/>
      <c r="G20" s="142"/>
      <c r="H20" s="142"/>
      <c r="I20" s="142"/>
    </row>
    <row r="21" spans="1:9" ht="12.75">
      <c r="A21" s="131" t="s">
        <v>18</v>
      </c>
      <c r="B21" s="142">
        <v>5696</v>
      </c>
      <c r="C21" s="142">
        <v>5745</v>
      </c>
      <c r="D21" s="142">
        <v>5571</v>
      </c>
      <c r="E21" s="142">
        <v>5515</v>
      </c>
      <c r="F21" s="142">
        <v>5408</v>
      </c>
      <c r="G21" s="142">
        <v>5252</v>
      </c>
      <c r="H21" s="142">
        <v>5104</v>
      </c>
      <c r="I21" s="142">
        <f>5041-I31</f>
        <v>4938</v>
      </c>
    </row>
    <row r="22" spans="1:9" ht="12.75">
      <c r="A22" s="131" t="s">
        <v>19</v>
      </c>
      <c r="B22" s="142">
        <v>2158</v>
      </c>
      <c r="C22" s="142">
        <v>1949</v>
      </c>
      <c r="D22" s="142">
        <v>2027</v>
      </c>
      <c r="E22" s="142">
        <v>2037</v>
      </c>
      <c r="F22" s="142">
        <v>2047</v>
      </c>
      <c r="G22" s="142">
        <v>1926</v>
      </c>
      <c r="H22" s="142">
        <v>1973</v>
      </c>
      <c r="I22" s="142">
        <f>1921-I32</f>
        <v>1885</v>
      </c>
    </row>
    <row r="23" spans="1:9" s="145" customFormat="1" ht="12.75">
      <c r="A23" s="143" t="s">
        <v>4</v>
      </c>
      <c r="B23" s="144">
        <f aca="true" t="shared" si="2" ref="B23:I23">SUM(B21:B22)</f>
        <v>7854</v>
      </c>
      <c r="C23" s="144">
        <f t="shared" si="2"/>
        <v>7694</v>
      </c>
      <c r="D23" s="144">
        <f t="shared" si="2"/>
        <v>7598</v>
      </c>
      <c r="E23" s="144">
        <f t="shared" si="2"/>
        <v>7552</v>
      </c>
      <c r="F23" s="144">
        <f t="shared" si="2"/>
        <v>7455</v>
      </c>
      <c r="G23" s="144">
        <f t="shared" si="2"/>
        <v>7178</v>
      </c>
      <c r="H23" s="144">
        <f t="shared" si="2"/>
        <v>7077</v>
      </c>
      <c r="I23" s="144">
        <f t="shared" si="2"/>
        <v>6823</v>
      </c>
    </row>
    <row r="24" spans="1:9" ht="12.75">
      <c r="A24" s="146"/>
      <c r="B24" s="142"/>
      <c r="C24" s="142"/>
      <c r="D24" s="142"/>
      <c r="E24" s="142"/>
      <c r="F24" s="142"/>
      <c r="G24" s="142"/>
      <c r="H24" s="142"/>
      <c r="I24" s="142"/>
    </row>
    <row r="25" spans="1:9" ht="12.75">
      <c r="A25" s="129" t="s">
        <v>13</v>
      </c>
      <c r="B25" s="142"/>
      <c r="C25" s="142"/>
      <c r="D25" s="142"/>
      <c r="E25" s="142"/>
      <c r="F25" s="142"/>
      <c r="G25" s="142"/>
      <c r="H25" s="142"/>
      <c r="I25" s="142"/>
    </row>
    <row r="26" spans="1:9" ht="12.75">
      <c r="A26" s="131" t="s">
        <v>18</v>
      </c>
      <c r="B26" s="142">
        <v>834</v>
      </c>
      <c r="C26" s="142">
        <v>892</v>
      </c>
      <c r="D26" s="142">
        <v>902</v>
      </c>
      <c r="E26" s="142">
        <v>949</v>
      </c>
      <c r="F26" s="142">
        <v>981</v>
      </c>
      <c r="G26" s="142">
        <v>992</v>
      </c>
      <c r="H26" s="142">
        <v>1022</v>
      </c>
      <c r="I26" s="142">
        <v>1065</v>
      </c>
    </row>
    <row r="27" spans="1:9" ht="12.75">
      <c r="A27" s="131" t="s">
        <v>19</v>
      </c>
      <c r="B27" s="142">
        <v>464</v>
      </c>
      <c r="C27" s="142">
        <v>437</v>
      </c>
      <c r="D27" s="142">
        <v>454</v>
      </c>
      <c r="E27" s="142">
        <v>518</v>
      </c>
      <c r="F27" s="142">
        <v>561</v>
      </c>
      <c r="G27" s="142">
        <v>586</v>
      </c>
      <c r="H27" s="142">
        <v>549</v>
      </c>
      <c r="I27" s="142">
        <v>545</v>
      </c>
    </row>
    <row r="28" spans="1:9" s="145" customFormat="1" ht="12.75">
      <c r="A28" s="143" t="s">
        <v>4</v>
      </c>
      <c r="B28" s="144">
        <f aca="true" t="shared" si="3" ref="B28:I28">SUM(B26:B27)</f>
        <v>1298</v>
      </c>
      <c r="C28" s="144">
        <f t="shared" si="3"/>
        <v>1329</v>
      </c>
      <c r="D28" s="144">
        <f t="shared" si="3"/>
        <v>1356</v>
      </c>
      <c r="E28" s="144">
        <f t="shared" si="3"/>
        <v>1467</v>
      </c>
      <c r="F28" s="144">
        <f t="shared" si="3"/>
        <v>1542</v>
      </c>
      <c r="G28" s="144">
        <f t="shared" si="3"/>
        <v>1578</v>
      </c>
      <c r="H28" s="144">
        <f t="shared" si="3"/>
        <v>1571</v>
      </c>
      <c r="I28" s="144">
        <f t="shared" si="3"/>
        <v>1610</v>
      </c>
    </row>
    <row r="29" spans="1:9" s="145" customFormat="1" ht="12.75">
      <c r="A29" s="143"/>
      <c r="B29" s="147"/>
      <c r="C29" s="147"/>
      <c r="D29" s="147"/>
      <c r="E29" s="147"/>
      <c r="F29" s="147"/>
      <c r="G29" s="147"/>
      <c r="H29" s="147"/>
      <c r="I29" s="147"/>
    </row>
    <row r="30" spans="1:9" ht="12.75">
      <c r="A30" s="129" t="s">
        <v>120</v>
      </c>
      <c r="B30" s="142"/>
      <c r="C30" s="142"/>
      <c r="D30" s="142"/>
      <c r="E30" s="142"/>
      <c r="F30" s="142"/>
      <c r="G30" s="142"/>
      <c r="H30" s="142"/>
      <c r="I30" s="142"/>
    </row>
    <row r="31" spans="1:9" ht="12.75">
      <c r="A31" s="131" t="s">
        <v>18</v>
      </c>
      <c r="B31" s="142">
        <v>18</v>
      </c>
      <c r="C31" s="142">
        <v>19</v>
      </c>
      <c r="D31" s="142">
        <v>19</v>
      </c>
      <c r="E31" s="142">
        <v>19</v>
      </c>
      <c r="F31" s="142">
        <v>19</v>
      </c>
      <c r="G31" s="142">
        <v>16</v>
      </c>
      <c r="H31" s="142">
        <v>19</v>
      </c>
      <c r="I31" s="142">
        <v>103</v>
      </c>
    </row>
    <row r="32" spans="1:9" ht="12.75">
      <c r="A32" s="131" t="s">
        <v>19</v>
      </c>
      <c r="B32" s="142">
        <v>5</v>
      </c>
      <c r="C32" s="142">
        <v>4</v>
      </c>
      <c r="D32" s="142">
        <v>2</v>
      </c>
      <c r="E32" s="142">
        <v>6</v>
      </c>
      <c r="F32" s="142">
        <v>9</v>
      </c>
      <c r="G32" s="142">
        <v>8</v>
      </c>
      <c r="H32" s="142">
        <v>3</v>
      </c>
      <c r="I32" s="142">
        <v>36</v>
      </c>
    </row>
    <row r="33" spans="1:9" s="145" customFormat="1" ht="12.75">
      <c r="A33" s="143" t="s">
        <v>4</v>
      </c>
      <c r="B33" s="144">
        <f aca="true" t="shared" si="4" ref="B33:I33">SUM(B31:B32)</f>
        <v>23</v>
      </c>
      <c r="C33" s="144">
        <f t="shared" si="4"/>
        <v>23</v>
      </c>
      <c r="D33" s="144">
        <f t="shared" si="4"/>
        <v>21</v>
      </c>
      <c r="E33" s="144">
        <f t="shared" si="4"/>
        <v>25</v>
      </c>
      <c r="F33" s="144">
        <f t="shared" si="4"/>
        <v>28</v>
      </c>
      <c r="G33" s="144">
        <f t="shared" si="4"/>
        <v>24</v>
      </c>
      <c r="H33" s="144">
        <f t="shared" si="4"/>
        <v>22</v>
      </c>
      <c r="I33" s="144">
        <f t="shared" si="4"/>
        <v>139</v>
      </c>
    </row>
    <row r="34" spans="1:9" ht="12.75">
      <c r="A34" s="131"/>
      <c r="B34" s="142"/>
      <c r="C34" s="142"/>
      <c r="D34" s="142"/>
      <c r="E34" s="142"/>
      <c r="F34" s="142"/>
      <c r="G34" s="142"/>
      <c r="H34" s="142"/>
      <c r="I34" s="142"/>
    </row>
    <row r="35" spans="1:9" ht="12.75">
      <c r="A35" s="129" t="s">
        <v>14</v>
      </c>
      <c r="B35" s="142"/>
      <c r="C35" s="142"/>
      <c r="D35" s="142"/>
      <c r="E35" s="142"/>
      <c r="F35" s="142"/>
      <c r="G35" s="142"/>
      <c r="H35" s="142"/>
      <c r="I35" s="142"/>
    </row>
    <row r="36" spans="1:9" ht="12.75">
      <c r="A36" s="131" t="s">
        <v>18</v>
      </c>
      <c r="B36" s="142">
        <v>1579</v>
      </c>
      <c r="C36" s="142">
        <v>1652</v>
      </c>
      <c r="D36" s="142">
        <v>1760</v>
      </c>
      <c r="E36" s="142">
        <v>1682</v>
      </c>
      <c r="F36" s="142">
        <v>1611</v>
      </c>
      <c r="G36" s="142">
        <v>1603</v>
      </c>
      <c r="H36" s="142">
        <v>1654</v>
      </c>
      <c r="I36" s="142">
        <v>1703</v>
      </c>
    </row>
    <row r="37" spans="1:9" ht="12.75">
      <c r="A37" s="131" t="s">
        <v>19</v>
      </c>
      <c r="B37" s="142">
        <v>906</v>
      </c>
      <c r="C37" s="142">
        <v>806</v>
      </c>
      <c r="D37" s="142">
        <v>792</v>
      </c>
      <c r="E37" s="142">
        <v>675</v>
      </c>
      <c r="F37" s="142">
        <v>650</v>
      </c>
      <c r="G37" s="142">
        <v>676</v>
      </c>
      <c r="H37" s="142">
        <v>704</v>
      </c>
      <c r="I37" s="142">
        <v>723</v>
      </c>
    </row>
    <row r="38" spans="1:9" s="145" customFormat="1" ht="12.75">
      <c r="A38" s="143" t="s">
        <v>4</v>
      </c>
      <c r="B38" s="144">
        <f aca="true" t="shared" si="5" ref="B38:I38">SUM(B36:B37)</f>
        <v>2485</v>
      </c>
      <c r="C38" s="144">
        <f t="shared" si="5"/>
        <v>2458</v>
      </c>
      <c r="D38" s="144">
        <f t="shared" si="5"/>
        <v>2552</v>
      </c>
      <c r="E38" s="144">
        <f t="shared" si="5"/>
        <v>2357</v>
      </c>
      <c r="F38" s="144">
        <f t="shared" si="5"/>
        <v>2261</v>
      </c>
      <c r="G38" s="144">
        <f t="shared" si="5"/>
        <v>2279</v>
      </c>
      <c r="H38" s="144">
        <f t="shared" si="5"/>
        <v>2358</v>
      </c>
      <c r="I38" s="144">
        <f t="shared" si="5"/>
        <v>2426</v>
      </c>
    </row>
    <row r="39" spans="1:9" s="145" customFormat="1" ht="12.75">
      <c r="A39" s="143"/>
      <c r="B39" s="147"/>
      <c r="C39" s="147"/>
      <c r="D39" s="147"/>
      <c r="E39" s="147"/>
      <c r="F39" s="147"/>
      <c r="G39" s="147"/>
      <c r="H39" s="147"/>
      <c r="I39" s="147"/>
    </row>
    <row r="40" spans="1:9" s="44" customFormat="1" ht="12.75">
      <c r="A40" s="1" t="s">
        <v>48</v>
      </c>
      <c r="B40" s="53"/>
      <c r="C40" s="53"/>
      <c r="D40" s="53"/>
      <c r="E40" s="53"/>
      <c r="F40" s="53"/>
      <c r="G40" s="53"/>
      <c r="H40" s="53"/>
      <c r="I40" s="53"/>
    </row>
    <row r="41" spans="1:9" s="44" customFormat="1" ht="12.75">
      <c r="A41" s="45" t="s">
        <v>18</v>
      </c>
      <c r="B41" s="53">
        <v>0</v>
      </c>
      <c r="C41" s="53">
        <v>0</v>
      </c>
      <c r="D41" s="53">
        <v>0</v>
      </c>
      <c r="E41" s="53">
        <v>0</v>
      </c>
      <c r="F41" s="53">
        <v>0</v>
      </c>
      <c r="G41" s="53">
        <v>0</v>
      </c>
      <c r="H41" s="53">
        <v>0</v>
      </c>
      <c r="I41" s="53">
        <v>73</v>
      </c>
    </row>
    <row r="42" spans="1:9" s="44" customFormat="1" ht="12.75">
      <c r="A42" s="45" t="s">
        <v>19</v>
      </c>
      <c r="B42" s="53">
        <v>78</v>
      </c>
      <c r="C42" s="53">
        <v>74</v>
      </c>
      <c r="D42" s="53">
        <v>80</v>
      </c>
      <c r="E42" s="53">
        <v>85</v>
      </c>
      <c r="F42" s="53">
        <v>97</v>
      </c>
      <c r="G42" s="53">
        <v>106</v>
      </c>
      <c r="H42" s="53">
        <v>114</v>
      </c>
      <c r="I42" s="53">
        <v>55</v>
      </c>
    </row>
    <row r="43" spans="1:9" s="44" customFormat="1" ht="12.75">
      <c r="A43" s="54" t="s">
        <v>4</v>
      </c>
      <c r="B43" s="55">
        <f aca="true" t="shared" si="6" ref="B43:I43">B41+B42</f>
        <v>78</v>
      </c>
      <c r="C43" s="55">
        <f t="shared" si="6"/>
        <v>74</v>
      </c>
      <c r="D43" s="55">
        <f t="shared" si="6"/>
        <v>80</v>
      </c>
      <c r="E43" s="55">
        <f t="shared" si="6"/>
        <v>85</v>
      </c>
      <c r="F43" s="55">
        <f t="shared" si="6"/>
        <v>97</v>
      </c>
      <c r="G43" s="55">
        <f t="shared" si="6"/>
        <v>106</v>
      </c>
      <c r="H43" s="55">
        <f t="shared" si="6"/>
        <v>114</v>
      </c>
      <c r="I43" s="55">
        <f t="shared" si="6"/>
        <v>128</v>
      </c>
    </row>
    <row r="44" spans="1:9" s="44" customFormat="1" ht="12.75">
      <c r="A44" s="54"/>
      <c r="B44" s="204"/>
      <c r="C44" s="204"/>
      <c r="D44" s="204"/>
      <c r="E44" s="204"/>
      <c r="F44" s="204"/>
      <c r="G44" s="204"/>
      <c r="H44" s="204"/>
      <c r="I44" s="204"/>
    </row>
    <row r="45" spans="1:9" ht="12.75">
      <c r="A45" s="1" t="s">
        <v>45</v>
      </c>
      <c r="B45" s="142"/>
      <c r="C45" s="142"/>
      <c r="D45" s="142"/>
      <c r="E45" s="142"/>
      <c r="F45" s="142"/>
      <c r="G45" s="142"/>
      <c r="H45" s="142"/>
      <c r="I45" s="142"/>
    </row>
    <row r="46" spans="1:9" ht="12.75">
      <c r="A46" s="131" t="s">
        <v>18</v>
      </c>
      <c r="B46" s="142">
        <v>379</v>
      </c>
      <c r="C46" s="142">
        <v>419</v>
      </c>
      <c r="D46" s="142">
        <v>446</v>
      </c>
      <c r="E46" s="142">
        <v>457</v>
      </c>
      <c r="F46" s="142">
        <v>475</v>
      </c>
      <c r="G46" s="142">
        <v>471</v>
      </c>
      <c r="H46" s="142">
        <v>475</v>
      </c>
      <c r="I46" s="142">
        <v>476</v>
      </c>
    </row>
    <row r="47" spans="1:9" ht="12.75">
      <c r="A47" s="131" t="s">
        <v>19</v>
      </c>
      <c r="B47" s="142">
        <v>259</v>
      </c>
      <c r="C47" s="142">
        <v>232</v>
      </c>
      <c r="D47" s="142">
        <v>228</v>
      </c>
      <c r="E47" s="142">
        <v>240</v>
      </c>
      <c r="F47" s="142">
        <v>253</v>
      </c>
      <c r="G47" s="142">
        <v>250</v>
      </c>
      <c r="H47" s="142">
        <v>235</v>
      </c>
      <c r="I47" s="142">
        <v>208</v>
      </c>
    </row>
    <row r="48" spans="1:9" s="145" customFormat="1" ht="12.75">
      <c r="A48" s="143" t="s">
        <v>4</v>
      </c>
      <c r="B48" s="144">
        <f aca="true" t="shared" si="7" ref="B48:I48">SUM(B46:B47)</f>
        <v>638</v>
      </c>
      <c r="C48" s="144">
        <f t="shared" si="7"/>
        <v>651</v>
      </c>
      <c r="D48" s="144">
        <f t="shared" si="7"/>
        <v>674</v>
      </c>
      <c r="E48" s="144">
        <f t="shared" si="7"/>
        <v>697</v>
      </c>
      <c r="F48" s="144">
        <f t="shared" si="7"/>
        <v>728</v>
      </c>
      <c r="G48" s="144">
        <f t="shared" si="7"/>
        <v>721</v>
      </c>
      <c r="H48" s="144">
        <f t="shared" si="7"/>
        <v>710</v>
      </c>
      <c r="I48" s="144">
        <f t="shared" si="7"/>
        <v>684</v>
      </c>
    </row>
    <row r="49" spans="1:9" ht="12.75">
      <c r="A49" s="131"/>
      <c r="B49" s="142"/>
      <c r="C49" s="142"/>
      <c r="D49" s="142"/>
      <c r="E49" s="142"/>
      <c r="F49" s="142"/>
      <c r="G49" s="142"/>
      <c r="H49" s="142"/>
      <c r="I49" s="142"/>
    </row>
    <row r="50" spans="1:9" ht="12.75">
      <c r="A50" s="1" t="s">
        <v>46</v>
      </c>
      <c r="B50" s="142"/>
      <c r="C50" s="142"/>
      <c r="D50" s="142"/>
      <c r="E50" s="142"/>
      <c r="F50" s="142"/>
      <c r="G50" s="142"/>
      <c r="H50" s="142"/>
      <c r="I50" s="142"/>
    </row>
    <row r="51" spans="1:9" ht="12.75">
      <c r="A51" s="131" t="s">
        <v>18</v>
      </c>
      <c r="B51" s="142">
        <v>32</v>
      </c>
      <c r="C51" s="142">
        <v>37</v>
      </c>
      <c r="D51" s="142">
        <v>37</v>
      </c>
      <c r="E51" s="142">
        <v>34</v>
      </c>
      <c r="F51" s="142">
        <v>32</v>
      </c>
      <c r="G51" s="142">
        <v>29</v>
      </c>
      <c r="H51" s="142">
        <v>31</v>
      </c>
      <c r="I51" s="142">
        <v>34</v>
      </c>
    </row>
    <row r="52" spans="1:9" ht="12.75">
      <c r="A52" s="131" t="s">
        <v>19</v>
      </c>
      <c r="B52" s="142">
        <v>16</v>
      </c>
      <c r="C52" s="142">
        <v>10</v>
      </c>
      <c r="D52" s="142">
        <v>9</v>
      </c>
      <c r="E52" s="142">
        <v>17</v>
      </c>
      <c r="F52" s="142">
        <v>16</v>
      </c>
      <c r="G52" s="142">
        <v>18</v>
      </c>
      <c r="H52" s="142">
        <v>18</v>
      </c>
      <c r="I52" s="142">
        <v>28</v>
      </c>
    </row>
    <row r="53" spans="1:9" s="145" customFormat="1" ht="12.75">
      <c r="A53" s="143" t="s">
        <v>4</v>
      </c>
      <c r="B53" s="144">
        <f aca="true" t="shared" si="8" ref="B53:I53">SUM(B51:B52)</f>
        <v>48</v>
      </c>
      <c r="C53" s="144">
        <f t="shared" si="8"/>
        <v>47</v>
      </c>
      <c r="D53" s="144">
        <f t="shared" si="8"/>
        <v>46</v>
      </c>
      <c r="E53" s="144">
        <f t="shared" si="8"/>
        <v>51</v>
      </c>
      <c r="F53" s="144">
        <f t="shared" si="8"/>
        <v>48</v>
      </c>
      <c r="G53" s="144">
        <f t="shared" si="8"/>
        <v>47</v>
      </c>
      <c r="H53" s="144">
        <f t="shared" si="8"/>
        <v>49</v>
      </c>
      <c r="I53" s="144">
        <f t="shared" si="8"/>
        <v>62</v>
      </c>
    </row>
    <row r="54" spans="1:9" s="145" customFormat="1" ht="12.75">
      <c r="A54" s="143"/>
      <c r="B54" s="147"/>
      <c r="C54" s="147"/>
      <c r="D54" s="147"/>
      <c r="E54" s="147"/>
      <c r="F54" s="147"/>
      <c r="G54" s="147"/>
      <c r="H54" s="147"/>
      <c r="I54" s="147"/>
    </row>
    <row r="55" spans="1:9" ht="12.75">
      <c r="A55" s="129" t="s">
        <v>15</v>
      </c>
      <c r="B55" s="142"/>
      <c r="C55" s="142"/>
      <c r="D55" s="142"/>
      <c r="E55" s="142"/>
      <c r="F55" s="142"/>
      <c r="G55" s="142"/>
      <c r="H55" s="142"/>
      <c r="I55" s="142"/>
    </row>
    <row r="56" spans="1:9" ht="12.75">
      <c r="A56" s="131" t="s">
        <v>18</v>
      </c>
      <c r="B56" s="142">
        <v>205</v>
      </c>
      <c r="C56" s="142">
        <v>212</v>
      </c>
      <c r="D56" s="142">
        <v>224</v>
      </c>
      <c r="E56" s="142">
        <v>221</v>
      </c>
      <c r="F56" s="142">
        <v>216</v>
      </c>
      <c r="G56" s="142">
        <v>214</v>
      </c>
      <c r="H56" s="142">
        <v>218</v>
      </c>
      <c r="I56" s="142">
        <v>222</v>
      </c>
    </row>
    <row r="57" spans="1:9" ht="12.75">
      <c r="A57" s="131" t="s">
        <v>19</v>
      </c>
      <c r="B57" s="142">
        <v>133</v>
      </c>
      <c r="C57" s="142">
        <v>133</v>
      </c>
      <c r="D57" s="142">
        <v>117</v>
      </c>
      <c r="E57" s="142">
        <v>106</v>
      </c>
      <c r="F57" s="142">
        <v>112</v>
      </c>
      <c r="G57" s="142">
        <v>123</v>
      </c>
      <c r="H57" s="142">
        <v>132</v>
      </c>
      <c r="I57" s="142">
        <v>106</v>
      </c>
    </row>
    <row r="58" spans="1:9" s="145" customFormat="1" ht="12.75">
      <c r="A58" s="143" t="s">
        <v>4</v>
      </c>
      <c r="B58" s="144">
        <f aca="true" t="shared" si="9" ref="B58:I58">SUM(B56:B57)</f>
        <v>338</v>
      </c>
      <c r="C58" s="144">
        <f t="shared" si="9"/>
        <v>345</v>
      </c>
      <c r="D58" s="144">
        <f t="shared" si="9"/>
        <v>341</v>
      </c>
      <c r="E58" s="144">
        <f t="shared" si="9"/>
        <v>327</v>
      </c>
      <c r="F58" s="144">
        <f t="shared" si="9"/>
        <v>328</v>
      </c>
      <c r="G58" s="144">
        <f t="shared" si="9"/>
        <v>337</v>
      </c>
      <c r="H58" s="144">
        <f t="shared" si="9"/>
        <v>350</v>
      </c>
      <c r="I58" s="144">
        <f t="shared" si="9"/>
        <v>328</v>
      </c>
    </row>
    <row r="59" spans="1:9" s="145" customFormat="1" ht="12.75">
      <c r="A59" s="143"/>
      <c r="B59" s="147"/>
      <c r="C59" s="147"/>
      <c r="D59" s="147"/>
      <c r="E59" s="147"/>
      <c r="F59" s="147"/>
      <c r="G59" s="147"/>
      <c r="H59" s="147"/>
      <c r="I59" s="147"/>
    </row>
    <row r="60" spans="1:9" ht="12.75">
      <c r="A60" s="129" t="s">
        <v>122</v>
      </c>
      <c r="B60" s="142"/>
      <c r="C60" s="142"/>
      <c r="D60" s="142"/>
      <c r="E60" s="142"/>
      <c r="F60" s="142"/>
      <c r="G60" s="142"/>
      <c r="H60" s="142"/>
      <c r="I60" s="142"/>
    </row>
    <row r="61" spans="1:9" ht="12.75">
      <c r="A61" s="131" t="s">
        <v>18</v>
      </c>
      <c r="B61" s="142">
        <v>4154</v>
      </c>
      <c r="C61" s="142">
        <v>4333</v>
      </c>
      <c r="D61" s="142">
        <v>4266</v>
      </c>
      <c r="E61" s="142">
        <v>4295</v>
      </c>
      <c r="F61" s="142">
        <v>4248</v>
      </c>
      <c r="G61" s="142">
        <v>4254</v>
      </c>
      <c r="H61" s="142">
        <v>4251</v>
      </c>
      <c r="I61" s="142">
        <v>4208</v>
      </c>
    </row>
    <row r="62" spans="1:9" ht="12.75">
      <c r="A62" s="131" t="s">
        <v>19</v>
      </c>
      <c r="B62" s="142">
        <v>2120</v>
      </c>
      <c r="C62" s="142">
        <v>1937</v>
      </c>
      <c r="D62" s="142">
        <v>2003</v>
      </c>
      <c r="E62" s="142">
        <v>1987</v>
      </c>
      <c r="F62" s="142">
        <v>1980</v>
      </c>
      <c r="G62" s="142">
        <v>1994</v>
      </c>
      <c r="H62" s="142">
        <v>2025</v>
      </c>
      <c r="I62" s="142">
        <v>1961</v>
      </c>
    </row>
    <row r="63" spans="1:9" s="145" customFormat="1" ht="12.75">
      <c r="A63" s="143" t="s">
        <v>4</v>
      </c>
      <c r="B63" s="144">
        <f aca="true" t="shared" si="10" ref="B63:I63">SUM(B61:B62)</f>
        <v>6274</v>
      </c>
      <c r="C63" s="144">
        <f t="shared" si="10"/>
        <v>6270</v>
      </c>
      <c r="D63" s="144">
        <f t="shared" si="10"/>
        <v>6269</v>
      </c>
      <c r="E63" s="144">
        <f t="shared" si="10"/>
        <v>6282</v>
      </c>
      <c r="F63" s="144">
        <f t="shared" si="10"/>
        <v>6228</v>
      </c>
      <c r="G63" s="144">
        <f t="shared" si="10"/>
        <v>6248</v>
      </c>
      <c r="H63" s="144">
        <f t="shared" si="10"/>
        <v>6276</v>
      </c>
      <c r="I63" s="144">
        <f t="shared" si="10"/>
        <v>6169</v>
      </c>
    </row>
    <row r="64" spans="1:9" ht="12.75">
      <c r="A64" s="143"/>
      <c r="B64" s="142"/>
      <c r="C64" s="142"/>
      <c r="D64" s="142"/>
      <c r="E64" s="142"/>
      <c r="F64" s="142"/>
      <c r="G64" s="142"/>
      <c r="H64" s="142"/>
      <c r="I64" s="142"/>
    </row>
    <row r="65" spans="1:9" ht="12.75">
      <c r="A65" s="185"/>
      <c r="B65" s="186"/>
      <c r="C65" s="186"/>
      <c r="D65" s="186"/>
      <c r="E65" s="186"/>
      <c r="F65" s="186"/>
      <c r="G65" s="186"/>
      <c r="H65" s="186"/>
      <c r="I65" s="186"/>
    </row>
    <row r="66" spans="1:9" s="27" customFormat="1" ht="12.75">
      <c r="A66" s="42" t="s">
        <v>82</v>
      </c>
      <c r="B66" s="36"/>
      <c r="C66" s="36"/>
      <c r="D66" s="36"/>
      <c r="E66" s="36"/>
      <c r="F66" s="36"/>
      <c r="G66" s="36"/>
      <c r="H66" s="36"/>
      <c r="I66" s="36"/>
    </row>
    <row r="67" spans="1:9" s="27" customFormat="1" ht="12.75">
      <c r="A67" s="28" t="s">
        <v>18</v>
      </c>
      <c r="B67" s="36">
        <f aca="true" t="shared" si="11" ref="B67:G68">SUM(B11,B16,B21,B26,B31,B36,B46,B51,B56,B61,B41)</f>
        <v>18455</v>
      </c>
      <c r="C67" s="36">
        <f t="shared" si="11"/>
        <v>19299</v>
      </c>
      <c r="D67" s="36">
        <f t="shared" si="11"/>
        <v>19273</v>
      </c>
      <c r="E67" s="36">
        <f t="shared" si="11"/>
        <v>19412</v>
      </c>
      <c r="F67" s="36">
        <f t="shared" si="11"/>
        <v>19287</v>
      </c>
      <c r="G67" s="36">
        <f t="shared" si="11"/>
        <v>19209</v>
      </c>
      <c r="H67" s="36">
        <f>SUM(H11,H16,H21,H26,H31,H36,H46,H51,H56,H61,H41)</f>
        <v>19247</v>
      </c>
      <c r="I67" s="36">
        <f>SUM(I11,I16,I21,I26,I31,I36,I46,I51,I56,I61,I41)</f>
        <v>19385</v>
      </c>
    </row>
    <row r="68" spans="1:9" s="27" customFormat="1" ht="12.75">
      <c r="A68" s="28" t="s">
        <v>19</v>
      </c>
      <c r="B68" s="36">
        <f t="shared" si="11"/>
        <v>9240</v>
      </c>
      <c r="C68" s="36">
        <f t="shared" si="11"/>
        <v>8450</v>
      </c>
      <c r="D68" s="36">
        <f t="shared" si="11"/>
        <v>8647</v>
      </c>
      <c r="E68" s="36">
        <f t="shared" si="11"/>
        <v>8621</v>
      </c>
      <c r="F68" s="36">
        <f t="shared" si="11"/>
        <v>8829</v>
      </c>
      <c r="G68" s="36">
        <f t="shared" si="11"/>
        <v>8889</v>
      </c>
      <c r="H68" s="36">
        <f>SUM(H12,H17,H22,H27,H32,H37,H47,H52,H57,H62,H42)</f>
        <v>9005</v>
      </c>
      <c r="I68" s="36">
        <f>SUM(I12,I17,I22,I27,I32,I37,I47,I52,I57,I62,I42)</f>
        <v>8664</v>
      </c>
    </row>
    <row r="69" spans="1:9" s="39" customFormat="1" ht="12.75">
      <c r="A69" s="37" t="s">
        <v>4</v>
      </c>
      <c r="B69" s="38">
        <f aca="true" t="shared" si="12" ref="B69:I69">SUM(B67:B68)</f>
        <v>27695</v>
      </c>
      <c r="C69" s="38">
        <f t="shared" si="12"/>
        <v>27749</v>
      </c>
      <c r="D69" s="38">
        <f t="shared" si="12"/>
        <v>27920</v>
      </c>
      <c r="E69" s="38">
        <f t="shared" si="12"/>
        <v>28033</v>
      </c>
      <c r="F69" s="38">
        <f t="shared" si="12"/>
        <v>28116</v>
      </c>
      <c r="G69" s="38">
        <f t="shared" si="12"/>
        <v>28098</v>
      </c>
      <c r="H69" s="38">
        <f t="shared" si="12"/>
        <v>28252</v>
      </c>
      <c r="I69" s="38">
        <f t="shared" si="12"/>
        <v>28049</v>
      </c>
    </row>
    <row r="71" ht="12.75">
      <c r="A71" s="236" t="s">
        <v>121</v>
      </c>
    </row>
  </sheetData>
  <sheetProtection/>
  <mergeCells count="2">
    <mergeCell ref="A2:H2"/>
    <mergeCell ref="A4:H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5" r:id="rId1"/>
  <headerFooter alignWithMargins="0">
    <oddFooter>&amp;R&amp;A</oddFooter>
  </headerFooter>
  <rowBreaks count="1" manualBreakCount="1">
    <brk id="48" max="8" man="1"/>
  </rowBreaks>
</worksheet>
</file>

<file path=xl/worksheets/sheet2.xml><?xml version="1.0" encoding="utf-8"?>
<worksheet xmlns="http://schemas.openxmlformats.org/spreadsheetml/2006/main" xmlns:r="http://schemas.openxmlformats.org/officeDocument/2006/relationships">
  <dimension ref="A1:A1"/>
  <sheetViews>
    <sheetView zoomScale="130" zoomScaleNormal="130" zoomScalePageLayoutView="0" workbookViewId="0" topLeftCell="A1">
      <selection activeCell="A150" sqref="A150"/>
    </sheetView>
  </sheetViews>
  <sheetFormatPr defaultColWidth="9.140625" defaultRowHeight="12.7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2"/>
    <pageSetUpPr fitToPage="1"/>
  </sheetPr>
  <dimension ref="A1:L109"/>
  <sheetViews>
    <sheetView zoomScalePageLayoutView="0" workbookViewId="0" topLeftCell="A1">
      <selection activeCell="A95" sqref="A95"/>
    </sheetView>
  </sheetViews>
  <sheetFormatPr defaultColWidth="9.28125" defaultRowHeight="12.75"/>
  <cols>
    <col min="1" max="1" width="31.28125" style="4" customWidth="1"/>
    <col min="2" max="10" width="10.421875" style="4" customWidth="1"/>
    <col min="11" max="16384" width="9.28125" style="4" customWidth="1"/>
  </cols>
  <sheetData>
    <row r="1" spans="1:10" ht="12.75">
      <c r="A1" s="1" t="s">
        <v>101</v>
      </c>
      <c r="B1" s="2" t="s">
        <v>0</v>
      </c>
      <c r="C1" s="2"/>
      <c r="D1" s="2"/>
      <c r="E1" s="2"/>
      <c r="F1" s="2"/>
      <c r="G1" s="2"/>
      <c r="H1" s="2"/>
      <c r="I1" s="2"/>
      <c r="J1" s="2"/>
    </row>
    <row r="2" spans="1:10" ht="12.75">
      <c r="A2" s="238" t="s">
        <v>1</v>
      </c>
      <c r="B2" s="238"/>
      <c r="C2" s="238"/>
      <c r="D2" s="238"/>
      <c r="E2" s="238"/>
      <c r="F2" s="238"/>
      <c r="G2" s="238"/>
      <c r="H2" s="238"/>
      <c r="I2" s="238"/>
      <c r="J2" s="238"/>
    </row>
    <row r="3" spans="1:10" ht="12.75">
      <c r="A3" s="5"/>
      <c r="B3" s="7"/>
      <c r="C3" s="7"/>
      <c r="D3" s="7"/>
      <c r="E3" s="6"/>
      <c r="F3" s="6"/>
      <c r="G3" s="6"/>
      <c r="H3" s="6"/>
      <c r="I3" s="6"/>
      <c r="J3" s="6"/>
    </row>
    <row r="4" spans="1:10" ht="12.75">
      <c r="A4" s="5" t="s">
        <v>102</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56" customFormat="1" ht="12.75">
      <c r="A7" s="64"/>
      <c r="B7" s="175" t="s">
        <v>5</v>
      </c>
      <c r="C7" s="176" t="s">
        <v>6</v>
      </c>
      <c r="D7" s="176" t="s">
        <v>4</v>
      </c>
      <c r="E7" s="175" t="s">
        <v>5</v>
      </c>
      <c r="F7" s="176" t="s">
        <v>6</v>
      </c>
      <c r="G7" s="176" t="s">
        <v>4</v>
      </c>
      <c r="H7" s="175" t="s">
        <v>5</v>
      </c>
      <c r="I7" s="176" t="s">
        <v>6</v>
      </c>
      <c r="J7" s="176"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42</v>
      </c>
      <c r="B10" s="190">
        <v>1087</v>
      </c>
      <c r="C10" s="191">
        <v>7497</v>
      </c>
      <c r="D10" s="187">
        <f>SUM(B10:C10)</f>
        <v>8584</v>
      </c>
      <c r="E10" s="192">
        <v>132</v>
      </c>
      <c r="F10" s="192">
        <v>771</v>
      </c>
      <c r="G10" s="12">
        <f>SUM(E10:F10)</f>
        <v>903</v>
      </c>
      <c r="H10" s="11">
        <f aca="true" t="shared" si="0" ref="H10:I13">SUM(B10,E10)</f>
        <v>1219</v>
      </c>
      <c r="I10" s="12">
        <f t="shared" si="0"/>
        <v>8268</v>
      </c>
      <c r="J10" s="12">
        <f>SUM(H10:I10)</f>
        <v>9487</v>
      </c>
    </row>
    <row r="11" spans="1:10" ht="12.75">
      <c r="A11" s="2" t="s">
        <v>8</v>
      </c>
      <c r="B11" s="190">
        <v>4277</v>
      </c>
      <c r="C11" s="191">
        <v>26980</v>
      </c>
      <c r="D11" s="187">
        <f>SUM(B11:C11)</f>
        <v>31257</v>
      </c>
      <c r="E11" s="192">
        <v>347</v>
      </c>
      <c r="F11" s="192">
        <v>2575</v>
      </c>
      <c r="G11" s="12">
        <f>SUM(E11:F11)</f>
        <v>2922</v>
      </c>
      <c r="H11" s="11">
        <f t="shared" si="0"/>
        <v>4624</v>
      </c>
      <c r="I11" s="12">
        <f t="shared" si="0"/>
        <v>29555</v>
      </c>
      <c r="J11" s="12">
        <f>SUM(H11:I11)</f>
        <v>34179</v>
      </c>
    </row>
    <row r="12" spans="1:10" ht="12.75">
      <c r="A12" s="2" t="s">
        <v>9</v>
      </c>
      <c r="B12" s="190">
        <v>2</v>
      </c>
      <c r="C12" s="191">
        <v>22</v>
      </c>
      <c r="D12" s="187">
        <f>SUM(B12:C12)</f>
        <v>24</v>
      </c>
      <c r="E12" s="233" t="s">
        <v>107</v>
      </c>
      <c r="F12" s="192">
        <v>3</v>
      </c>
      <c r="G12" s="12">
        <f>SUM(E12:F12)</f>
        <v>3</v>
      </c>
      <c r="H12" s="13">
        <f t="shared" si="0"/>
        <v>2</v>
      </c>
      <c r="I12" s="12">
        <f t="shared" si="0"/>
        <v>25</v>
      </c>
      <c r="J12" s="12">
        <f>SUM(H12:I12)</f>
        <v>27</v>
      </c>
    </row>
    <row r="13" spans="1:10" ht="12.75">
      <c r="A13" s="3" t="s">
        <v>10</v>
      </c>
      <c r="B13" s="193">
        <v>1672</v>
      </c>
      <c r="C13" s="194">
        <v>10596</v>
      </c>
      <c r="D13" s="188">
        <f>SUM(B13:C13)</f>
        <v>12268</v>
      </c>
      <c r="E13" s="192">
        <v>141</v>
      </c>
      <c r="F13" s="192">
        <v>1005</v>
      </c>
      <c r="G13" s="12">
        <f>SUM(E13:F13)</f>
        <v>1146</v>
      </c>
      <c r="H13" s="11">
        <f t="shared" si="0"/>
        <v>1813</v>
      </c>
      <c r="I13" s="12">
        <f t="shared" si="0"/>
        <v>11601</v>
      </c>
      <c r="J13" s="12">
        <f>SUM(H13:I13)</f>
        <v>13414</v>
      </c>
    </row>
    <row r="14" spans="1:10" s="17" customFormat="1" ht="12.75">
      <c r="A14" s="14" t="s">
        <v>4</v>
      </c>
      <c r="B14" s="15">
        <f>SUM(B10:B13)</f>
        <v>7038</v>
      </c>
      <c r="C14" s="16">
        <f aca="true" t="shared" si="1" ref="C14:J14">SUM(C10:C13)</f>
        <v>45095</v>
      </c>
      <c r="D14" s="16">
        <f t="shared" si="1"/>
        <v>52133</v>
      </c>
      <c r="E14" s="15">
        <f t="shared" si="1"/>
        <v>620</v>
      </c>
      <c r="F14" s="16">
        <f t="shared" si="1"/>
        <v>4354</v>
      </c>
      <c r="G14" s="16">
        <f t="shared" si="1"/>
        <v>4974</v>
      </c>
      <c r="H14" s="15">
        <f t="shared" si="1"/>
        <v>7658</v>
      </c>
      <c r="I14" s="16">
        <f t="shared" si="1"/>
        <v>49449</v>
      </c>
      <c r="J14" s="16">
        <f t="shared" si="1"/>
        <v>57107</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42</v>
      </c>
      <c r="B17" s="190">
        <v>237</v>
      </c>
      <c r="C17" s="191">
        <v>1266</v>
      </c>
      <c r="D17" s="187">
        <f>SUM(B17:C17)</f>
        <v>1503</v>
      </c>
      <c r="E17" s="192">
        <v>56</v>
      </c>
      <c r="F17" s="192">
        <v>633</v>
      </c>
      <c r="G17" s="12">
        <f>SUM(E17:F17)</f>
        <v>689</v>
      </c>
      <c r="H17" s="11">
        <f aca="true" t="shared" si="2" ref="H17:I20">SUM(B17,E17)</f>
        <v>293</v>
      </c>
      <c r="I17" s="12">
        <f t="shared" si="2"/>
        <v>1899</v>
      </c>
      <c r="J17" s="12">
        <f>SUM(H17:I17)</f>
        <v>2192</v>
      </c>
    </row>
    <row r="18" spans="1:10" ht="12.75">
      <c r="A18" s="2" t="s">
        <v>8</v>
      </c>
      <c r="B18" s="190">
        <v>620</v>
      </c>
      <c r="C18" s="191">
        <v>3095</v>
      </c>
      <c r="D18" s="187">
        <f>SUM(B18:C18)</f>
        <v>3715</v>
      </c>
      <c r="E18" s="192">
        <v>93</v>
      </c>
      <c r="F18" s="192">
        <v>1354</v>
      </c>
      <c r="G18" s="12">
        <f>SUM(E18:F18)</f>
        <v>1447</v>
      </c>
      <c r="H18" s="11">
        <f t="shared" si="2"/>
        <v>713</v>
      </c>
      <c r="I18" s="12">
        <f t="shared" si="2"/>
        <v>4449</v>
      </c>
      <c r="J18" s="12">
        <f>SUM(H18:I18)</f>
        <v>5162</v>
      </c>
    </row>
    <row r="19" spans="1:10" ht="12.75">
      <c r="A19" s="2" t="s">
        <v>9</v>
      </c>
      <c r="B19" s="190">
        <v>17</v>
      </c>
      <c r="C19" s="191">
        <v>98</v>
      </c>
      <c r="D19" s="189">
        <f>SUM(B19:C19)</f>
        <v>115</v>
      </c>
      <c r="E19" s="192">
        <v>2</v>
      </c>
      <c r="F19" s="192">
        <v>29</v>
      </c>
      <c r="G19" s="18">
        <f>SUM(E19:F19)</f>
        <v>31</v>
      </c>
      <c r="H19" s="13">
        <f t="shared" si="2"/>
        <v>19</v>
      </c>
      <c r="I19" s="18">
        <f t="shared" si="2"/>
        <v>127</v>
      </c>
      <c r="J19" s="18">
        <f>SUM(H19:I19)</f>
        <v>146</v>
      </c>
    </row>
    <row r="20" spans="1:10" ht="12.75">
      <c r="A20" s="2" t="s">
        <v>10</v>
      </c>
      <c r="B20" s="193">
        <v>116</v>
      </c>
      <c r="C20" s="194">
        <v>717</v>
      </c>
      <c r="D20" s="188">
        <f>SUM(B20:C20)</f>
        <v>833</v>
      </c>
      <c r="E20" s="192">
        <v>14</v>
      </c>
      <c r="F20" s="192">
        <v>311</v>
      </c>
      <c r="G20" s="12">
        <f>SUM(E20:F20)</f>
        <v>325</v>
      </c>
      <c r="H20" s="11">
        <f t="shared" si="2"/>
        <v>130</v>
      </c>
      <c r="I20" s="12">
        <f t="shared" si="2"/>
        <v>1028</v>
      </c>
      <c r="J20" s="12">
        <f>SUM(H20:I20)</f>
        <v>1158</v>
      </c>
    </row>
    <row r="21" spans="1:10" s="17" customFormat="1" ht="12.75">
      <c r="A21" s="19" t="s">
        <v>4</v>
      </c>
      <c r="B21" s="15">
        <f aca="true" t="shared" si="3" ref="B21:J21">SUM(B17:B20)</f>
        <v>990</v>
      </c>
      <c r="C21" s="16">
        <f t="shared" si="3"/>
        <v>5176</v>
      </c>
      <c r="D21" s="16">
        <f t="shared" si="3"/>
        <v>6166</v>
      </c>
      <c r="E21" s="15">
        <f t="shared" si="3"/>
        <v>165</v>
      </c>
      <c r="F21" s="16">
        <f t="shared" si="3"/>
        <v>2327</v>
      </c>
      <c r="G21" s="16">
        <f t="shared" si="3"/>
        <v>2492</v>
      </c>
      <c r="H21" s="15">
        <f t="shared" si="3"/>
        <v>1155</v>
      </c>
      <c r="I21" s="16">
        <f t="shared" si="3"/>
        <v>7503</v>
      </c>
      <c r="J21" s="16">
        <f t="shared" si="3"/>
        <v>8658</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42</v>
      </c>
      <c r="B24" s="190">
        <f>4501-B38</f>
        <v>4464</v>
      </c>
      <c r="C24" s="191">
        <f>7187-C38</f>
        <v>7003</v>
      </c>
      <c r="D24" s="187">
        <f>SUM(B24:C24)</f>
        <v>11467</v>
      </c>
      <c r="E24" s="192">
        <f>353-E38</f>
        <v>351</v>
      </c>
      <c r="F24" s="192">
        <f>1061-F38</f>
        <v>1039</v>
      </c>
      <c r="G24" s="12">
        <f>SUM(E24:F24)</f>
        <v>1390</v>
      </c>
      <c r="H24" s="11">
        <f aca="true" t="shared" si="4" ref="H24:I27">SUM(B24,E24)</f>
        <v>4815</v>
      </c>
      <c r="I24" s="12">
        <f t="shared" si="4"/>
        <v>8042</v>
      </c>
      <c r="J24" s="12">
        <f>SUM(H24:I24)</f>
        <v>12857</v>
      </c>
    </row>
    <row r="25" spans="1:10" ht="12.75">
      <c r="A25" s="2" t="s">
        <v>8</v>
      </c>
      <c r="B25" s="190">
        <f>14266-B39</f>
        <v>14125</v>
      </c>
      <c r="C25" s="191">
        <f>23937-C39</f>
        <v>23116</v>
      </c>
      <c r="D25" s="187">
        <f>SUM(B25:C25)</f>
        <v>37241</v>
      </c>
      <c r="E25" s="192">
        <f>1147-E39</f>
        <v>1133</v>
      </c>
      <c r="F25" s="192">
        <f>2859-F39</f>
        <v>2784</v>
      </c>
      <c r="G25" s="12">
        <f>SUM(E25:F25)</f>
        <v>3917</v>
      </c>
      <c r="H25" s="11">
        <f t="shared" si="4"/>
        <v>15258</v>
      </c>
      <c r="I25" s="12">
        <f t="shared" si="4"/>
        <v>25900</v>
      </c>
      <c r="J25" s="12">
        <f>SUM(H25:I25)</f>
        <v>41158</v>
      </c>
    </row>
    <row r="26" spans="1:10" ht="12.75">
      <c r="A26" s="2" t="s">
        <v>9</v>
      </c>
      <c r="B26" s="190">
        <f>1073-B40</f>
        <v>1046</v>
      </c>
      <c r="C26" s="191">
        <f>1144-C40</f>
        <v>1073</v>
      </c>
      <c r="D26" s="187">
        <f>SUM(B26:C26)</f>
        <v>2119</v>
      </c>
      <c r="E26" s="192">
        <f>66-E40</f>
        <v>63</v>
      </c>
      <c r="F26" s="192">
        <f>143-F40</f>
        <v>140</v>
      </c>
      <c r="G26" s="12">
        <f>SUM(E26:F26)</f>
        <v>203</v>
      </c>
      <c r="H26" s="11">
        <f t="shared" si="4"/>
        <v>1109</v>
      </c>
      <c r="I26" s="12">
        <f t="shared" si="4"/>
        <v>1213</v>
      </c>
      <c r="J26" s="12">
        <f>SUM(H26:I26)</f>
        <v>2322</v>
      </c>
    </row>
    <row r="27" spans="1:10" ht="12.75">
      <c r="A27" s="3" t="s">
        <v>10</v>
      </c>
      <c r="B27" s="193">
        <f>1288-B41</f>
        <v>1280</v>
      </c>
      <c r="C27" s="194">
        <f>1562-C41</f>
        <v>1542</v>
      </c>
      <c r="D27" s="188">
        <f>SUM(B27:C27)</f>
        <v>2822</v>
      </c>
      <c r="E27" s="192">
        <f>76-E41</f>
        <v>75</v>
      </c>
      <c r="F27" s="192">
        <f>221-F41</f>
        <v>218</v>
      </c>
      <c r="G27" s="12">
        <f>SUM(E27:F27)</f>
        <v>293</v>
      </c>
      <c r="H27" s="11">
        <f t="shared" si="4"/>
        <v>1355</v>
      </c>
      <c r="I27" s="12">
        <f t="shared" si="4"/>
        <v>1760</v>
      </c>
      <c r="J27" s="12">
        <f>SUM(H27:I27)</f>
        <v>3115</v>
      </c>
    </row>
    <row r="28" spans="1:10" s="17" customFormat="1" ht="12.75">
      <c r="A28" s="14" t="s">
        <v>4</v>
      </c>
      <c r="B28" s="15">
        <f aca="true" t="shared" si="5" ref="B28:J28">SUM(B24:B27)</f>
        <v>20915</v>
      </c>
      <c r="C28" s="16">
        <f t="shared" si="5"/>
        <v>32734</v>
      </c>
      <c r="D28" s="16">
        <f t="shared" si="5"/>
        <v>53649</v>
      </c>
      <c r="E28" s="15">
        <f t="shared" si="5"/>
        <v>1622</v>
      </c>
      <c r="F28" s="16">
        <f t="shared" si="5"/>
        <v>4181</v>
      </c>
      <c r="G28" s="16">
        <f t="shared" si="5"/>
        <v>5803</v>
      </c>
      <c r="H28" s="15">
        <f t="shared" si="5"/>
        <v>22537</v>
      </c>
      <c r="I28" s="16">
        <f t="shared" si="5"/>
        <v>36915</v>
      </c>
      <c r="J28" s="16">
        <f t="shared" si="5"/>
        <v>59452</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42</v>
      </c>
      <c r="B31" s="190">
        <v>600</v>
      </c>
      <c r="C31" s="191">
        <v>1192</v>
      </c>
      <c r="D31" s="187">
        <f>SUM(B31:C31)</f>
        <v>1792</v>
      </c>
      <c r="E31" s="11">
        <v>47</v>
      </c>
      <c r="F31" s="12">
        <v>337</v>
      </c>
      <c r="G31" s="12">
        <f>SUM(E31:F31)</f>
        <v>384</v>
      </c>
      <c r="H31" s="11">
        <f aca="true" t="shared" si="6" ref="H31:I34">SUM(B31,E31)</f>
        <v>647</v>
      </c>
      <c r="I31" s="12">
        <f t="shared" si="6"/>
        <v>1529</v>
      </c>
      <c r="J31" s="12">
        <f>SUM(H31:I31)</f>
        <v>2176</v>
      </c>
    </row>
    <row r="32" spans="1:10" ht="12.75">
      <c r="A32" s="2" t="s">
        <v>8</v>
      </c>
      <c r="B32" s="190">
        <v>1462</v>
      </c>
      <c r="C32" s="191">
        <v>2935</v>
      </c>
      <c r="D32" s="187">
        <f>SUM(B32:C32)</f>
        <v>4397</v>
      </c>
      <c r="E32" s="11">
        <v>131</v>
      </c>
      <c r="F32" s="12">
        <v>689</v>
      </c>
      <c r="G32" s="12">
        <f>SUM(E32:F32)</f>
        <v>820</v>
      </c>
      <c r="H32" s="11">
        <f t="shared" si="6"/>
        <v>1593</v>
      </c>
      <c r="I32" s="12">
        <f t="shared" si="6"/>
        <v>3624</v>
      </c>
      <c r="J32" s="12">
        <f>SUM(H32:I32)</f>
        <v>5217</v>
      </c>
    </row>
    <row r="33" spans="1:10" ht="12.75">
      <c r="A33" s="2" t="s">
        <v>9</v>
      </c>
      <c r="B33" s="190">
        <v>54</v>
      </c>
      <c r="C33" s="191">
        <v>57</v>
      </c>
      <c r="D33" s="187">
        <f>SUM(B33:C33)</f>
        <v>111</v>
      </c>
      <c r="E33" s="13">
        <v>2</v>
      </c>
      <c r="F33" s="12">
        <v>15</v>
      </c>
      <c r="G33" s="12">
        <f>SUM(E33:F33)</f>
        <v>17</v>
      </c>
      <c r="H33" s="13">
        <f t="shared" si="6"/>
        <v>56</v>
      </c>
      <c r="I33" s="12">
        <f t="shared" si="6"/>
        <v>72</v>
      </c>
      <c r="J33" s="12">
        <f>SUM(H33:I33)</f>
        <v>128</v>
      </c>
    </row>
    <row r="34" spans="1:10" ht="12.75">
      <c r="A34" s="2" t="s">
        <v>10</v>
      </c>
      <c r="B34" s="193">
        <v>278</v>
      </c>
      <c r="C34" s="194">
        <v>518</v>
      </c>
      <c r="D34" s="188">
        <f>SUM(B34:C34)</f>
        <v>796</v>
      </c>
      <c r="E34" s="11">
        <v>22</v>
      </c>
      <c r="F34" s="12">
        <v>101</v>
      </c>
      <c r="G34" s="12">
        <f>SUM(E34:F34)</f>
        <v>123</v>
      </c>
      <c r="H34" s="11">
        <f t="shared" si="6"/>
        <v>300</v>
      </c>
      <c r="I34" s="12">
        <f t="shared" si="6"/>
        <v>619</v>
      </c>
      <c r="J34" s="12">
        <f>SUM(H34:I34)</f>
        <v>919</v>
      </c>
    </row>
    <row r="35" spans="1:10" s="17" customFormat="1" ht="12.75">
      <c r="A35" s="19" t="s">
        <v>4</v>
      </c>
      <c r="B35" s="15">
        <f aca="true" t="shared" si="7" ref="B35:J35">SUM(B31:B34)</f>
        <v>2394</v>
      </c>
      <c r="C35" s="16">
        <f t="shared" si="7"/>
        <v>4702</v>
      </c>
      <c r="D35" s="16">
        <f t="shared" si="7"/>
        <v>7096</v>
      </c>
      <c r="E35" s="15">
        <f t="shared" si="7"/>
        <v>202</v>
      </c>
      <c r="F35" s="16">
        <f t="shared" si="7"/>
        <v>1142</v>
      </c>
      <c r="G35" s="16">
        <f t="shared" si="7"/>
        <v>1344</v>
      </c>
      <c r="H35" s="15">
        <f t="shared" si="7"/>
        <v>2596</v>
      </c>
      <c r="I35" s="16">
        <f t="shared" si="7"/>
        <v>5844</v>
      </c>
      <c r="J35" s="16">
        <f t="shared" si="7"/>
        <v>8440</v>
      </c>
    </row>
    <row r="36" spans="1:10" s="17" customFormat="1" ht="12.75">
      <c r="A36" s="19"/>
      <c r="B36" s="20"/>
      <c r="C36" s="21"/>
      <c r="D36" s="21"/>
      <c r="E36" s="20"/>
      <c r="F36" s="21"/>
      <c r="G36" s="21"/>
      <c r="H36" s="20"/>
      <c r="I36" s="21"/>
      <c r="J36" s="21"/>
    </row>
    <row r="37" spans="1:10" s="17" customFormat="1" ht="12.75">
      <c r="A37" s="1" t="s">
        <v>120</v>
      </c>
      <c r="B37" s="20"/>
      <c r="C37" s="21"/>
      <c r="D37" s="21"/>
      <c r="E37" s="20"/>
      <c r="F37" s="21"/>
      <c r="G37" s="21"/>
      <c r="H37" s="20"/>
      <c r="I37" s="21"/>
      <c r="J37" s="21"/>
    </row>
    <row r="38" spans="1:10" s="17" customFormat="1" ht="12.75">
      <c r="A38" s="2" t="s">
        <v>42</v>
      </c>
      <c r="B38" s="13">
        <v>37</v>
      </c>
      <c r="C38" s="68">
        <v>184</v>
      </c>
      <c r="D38" s="68">
        <f>SUM(B38:C38)</f>
        <v>221</v>
      </c>
      <c r="E38" s="13">
        <v>2</v>
      </c>
      <c r="F38" s="68">
        <v>22</v>
      </c>
      <c r="G38" s="68">
        <f>SUM(E38:F38)</f>
        <v>24</v>
      </c>
      <c r="H38" s="13">
        <f aca="true" t="shared" si="8" ref="H38:I41">SUM(B38,E38)</f>
        <v>39</v>
      </c>
      <c r="I38" s="68">
        <f t="shared" si="8"/>
        <v>206</v>
      </c>
      <c r="J38" s="68">
        <f>SUM(H38:I38)</f>
        <v>245</v>
      </c>
    </row>
    <row r="39" spans="1:10" s="17" customFormat="1" ht="12.75">
      <c r="A39" s="2" t="s">
        <v>8</v>
      </c>
      <c r="B39" s="13">
        <v>141</v>
      </c>
      <c r="C39" s="68">
        <v>821</v>
      </c>
      <c r="D39" s="68">
        <f>SUM(B39:C39)</f>
        <v>962</v>
      </c>
      <c r="E39" s="13">
        <v>14</v>
      </c>
      <c r="F39" s="68">
        <v>75</v>
      </c>
      <c r="G39" s="68">
        <f>SUM(E39:F39)</f>
        <v>89</v>
      </c>
      <c r="H39" s="13">
        <f t="shared" si="8"/>
        <v>155</v>
      </c>
      <c r="I39" s="68">
        <f t="shared" si="8"/>
        <v>896</v>
      </c>
      <c r="J39" s="68">
        <f>SUM(H39:I39)</f>
        <v>1051</v>
      </c>
    </row>
    <row r="40" spans="1:10" s="17" customFormat="1" ht="12.75">
      <c r="A40" s="2" t="s">
        <v>9</v>
      </c>
      <c r="B40" s="13">
        <v>27</v>
      </c>
      <c r="C40" s="68">
        <v>71</v>
      </c>
      <c r="D40" s="68">
        <f>SUM(B40:C40)</f>
        <v>98</v>
      </c>
      <c r="E40" s="13">
        <v>3</v>
      </c>
      <c r="F40" s="68">
        <v>3</v>
      </c>
      <c r="G40" s="68">
        <f>SUM(E40:F40)</f>
        <v>6</v>
      </c>
      <c r="H40" s="13">
        <f t="shared" si="8"/>
        <v>30</v>
      </c>
      <c r="I40" s="68">
        <f t="shared" si="8"/>
        <v>74</v>
      </c>
      <c r="J40" s="68">
        <f>SUM(H40:I40)</f>
        <v>104</v>
      </c>
    </row>
    <row r="41" spans="1:10" s="17" customFormat="1" ht="12.75">
      <c r="A41" s="2" t="s">
        <v>10</v>
      </c>
      <c r="B41" s="13">
        <v>8</v>
      </c>
      <c r="C41" s="68">
        <v>20</v>
      </c>
      <c r="D41" s="68">
        <f>SUM(B41:C41)</f>
        <v>28</v>
      </c>
      <c r="E41" s="13">
        <v>1</v>
      </c>
      <c r="F41" s="68">
        <v>3</v>
      </c>
      <c r="G41" s="68">
        <f>SUM(E41:F41)</f>
        <v>4</v>
      </c>
      <c r="H41" s="13">
        <f t="shared" si="8"/>
        <v>9</v>
      </c>
      <c r="I41" s="68">
        <f t="shared" si="8"/>
        <v>23</v>
      </c>
      <c r="J41" s="68">
        <f>SUM(H41:I41)</f>
        <v>32</v>
      </c>
    </row>
    <row r="42" spans="1:10" ht="12.75">
      <c r="A42" s="19" t="s">
        <v>4</v>
      </c>
      <c r="B42" s="70">
        <f aca="true" t="shared" si="9" ref="B42:J42">SUM(B38:B41)</f>
        <v>213</v>
      </c>
      <c r="C42" s="71">
        <f t="shared" si="9"/>
        <v>1096</v>
      </c>
      <c r="D42" s="207">
        <f t="shared" si="9"/>
        <v>1309</v>
      </c>
      <c r="E42" s="70">
        <f t="shared" si="9"/>
        <v>20</v>
      </c>
      <c r="F42" s="71">
        <f t="shared" si="9"/>
        <v>103</v>
      </c>
      <c r="G42" s="207">
        <f t="shared" si="9"/>
        <v>123</v>
      </c>
      <c r="H42" s="70">
        <f t="shared" si="9"/>
        <v>233</v>
      </c>
      <c r="I42" s="71">
        <f t="shared" si="9"/>
        <v>1199</v>
      </c>
      <c r="J42" s="71">
        <f t="shared" si="9"/>
        <v>1432</v>
      </c>
    </row>
    <row r="43" spans="1:10" ht="12.75">
      <c r="A43" s="19"/>
      <c r="B43" s="11"/>
      <c r="C43" s="12"/>
      <c r="D43" s="12"/>
      <c r="E43" s="11"/>
      <c r="F43" s="12"/>
      <c r="G43" s="12"/>
      <c r="H43" s="11"/>
      <c r="I43" s="12"/>
      <c r="J43" s="12"/>
    </row>
    <row r="44" spans="1:10" ht="12.75">
      <c r="A44" s="1" t="s">
        <v>14</v>
      </c>
      <c r="B44" s="11"/>
      <c r="C44" s="12"/>
      <c r="D44" s="12"/>
      <c r="E44" s="11"/>
      <c r="F44" s="12"/>
      <c r="G44" s="12"/>
      <c r="H44" s="11"/>
      <c r="I44" s="12"/>
      <c r="J44" s="12"/>
    </row>
    <row r="45" spans="1:10" s="17" customFormat="1" ht="12.75">
      <c r="A45" s="19" t="s">
        <v>4</v>
      </c>
      <c r="B45" s="20">
        <v>2735</v>
      </c>
      <c r="C45" s="21">
        <v>3675</v>
      </c>
      <c r="D45" s="21">
        <f>SUM(B45:C45)</f>
        <v>6410</v>
      </c>
      <c r="E45" s="20">
        <v>718</v>
      </c>
      <c r="F45" s="21">
        <v>1381</v>
      </c>
      <c r="G45" s="21">
        <f>SUM(E45:F45)</f>
        <v>2099</v>
      </c>
      <c r="H45" s="20">
        <f>SUM(B45,E45)</f>
        <v>3453</v>
      </c>
      <c r="I45" s="21">
        <f>SUM(C45,F45)</f>
        <v>5056</v>
      </c>
      <c r="J45" s="21">
        <f>SUM(H45:I45)</f>
        <v>8509</v>
      </c>
    </row>
    <row r="46" spans="1:10" s="17" customFormat="1" ht="12.75">
      <c r="A46" s="19"/>
      <c r="B46" s="20"/>
      <c r="C46" s="21"/>
      <c r="D46" s="21"/>
      <c r="E46" s="20"/>
      <c r="F46" s="21"/>
      <c r="G46" s="21"/>
      <c r="H46" s="20"/>
      <c r="I46" s="21"/>
      <c r="J46" s="21"/>
    </row>
    <row r="47" spans="1:10" s="17" customFormat="1" ht="12.75">
      <c r="A47" s="200" t="s">
        <v>48</v>
      </c>
      <c r="B47" s="20"/>
      <c r="C47" s="21"/>
      <c r="D47" s="21"/>
      <c r="E47" s="20"/>
      <c r="F47" s="21"/>
      <c r="G47" s="21"/>
      <c r="H47" s="20"/>
      <c r="I47" s="21"/>
      <c r="J47" s="21"/>
    </row>
    <row r="48" spans="1:10" s="17" customFormat="1" ht="12.75">
      <c r="A48" s="19" t="s">
        <v>4</v>
      </c>
      <c r="B48" s="20">
        <v>162</v>
      </c>
      <c r="C48" s="21">
        <v>804</v>
      </c>
      <c r="D48" s="21">
        <f>SUM(B48:C48)</f>
        <v>966</v>
      </c>
      <c r="E48" s="20">
        <v>11</v>
      </c>
      <c r="F48" s="21">
        <v>91</v>
      </c>
      <c r="G48" s="21">
        <f>SUM(E48:F48)</f>
        <v>102</v>
      </c>
      <c r="H48" s="20">
        <f>B48+E48</f>
        <v>173</v>
      </c>
      <c r="I48" s="21">
        <f>C48+F48</f>
        <v>895</v>
      </c>
      <c r="J48" s="21">
        <f>H48+I48</f>
        <v>1068</v>
      </c>
    </row>
    <row r="49" spans="1:10" ht="12.75">
      <c r="A49" s="22"/>
      <c r="B49" s="23"/>
      <c r="C49" s="24"/>
      <c r="D49" s="24"/>
      <c r="E49" s="23"/>
      <c r="F49" s="24"/>
      <c r="G49" s="24"/>
      <c r="H49" s="23"/>
      <c r="I49" s="24"/>
      <c r="J49" s="24"/>
    </row>
    <row r="50" spans="1:10" ht="12.75">
      <c r="A50" s="1" t="s">
        <v>45</v>
      </c>
      <c r="B50" s="11"/>
      <c r="C50" s="12"/>
      <c r="D50" s="12"/>
      <c r="E50" s="11"/>
      <c r="F50" s="12"/>
      <c r="G50" s="12"/>
      <c r="H50" s="11"/>
      <c r="I50" s="12"/>
      <c r="J50" s="12"/>
    </row>
    <row r="51" spans="1:10" ht="12.75">
      <c r="A51" s="2" t="s">
        <v>42</v>
      </c>
      <c r="B51" s="11">
        <v>530</v>
      </c>
      <c r="C51" s="12">
        <v>1039</v>
      </c>
      <c r="D51" s="12">
        <f>SUM(B51:C51)</f>
        <v>1569</v>
      </c>
      <c r="E51" s="11">
        <v>36</v>
      </c>
      <c r="F51" s="12">
        <v>185</v>
      </c>
      <c r="G51" s="12">
        <f>SUM(E51:F51)</f>
        <v>221</v>
      </c>
      <c r="H51" s="11">
        <f aca="true" t="shared" si="10" ref="H51:I54">SUM(B51,E51)</f>
        <v>566</v>
      </c>
      <c r="I51" s="12">
        <f t="shared" si="10"/>
        <v>1224</v>
      </c>
      <c r="J51" s="12">
        <f>SUM(H51:I51)</f>
        <v>1790</v>
      </c>
    </row>
    <row r="52" spans="1:10" ht="12.75">
      <c r="A52" s="2" t="s">
        <v>8</v>
      </c>
      <c r="B52" s="11">
        <v>541</v>
      </c>
      <c r="C52" s="12">
        <v>1240</v>
      </c>
      <c r="D52" s="12">
        <f>SUM(B52:C52)</f>
        <v>1781</v>
      </c>
      <c r="E52" s="11">
        <v>42</v>
      </c>
      <c r="F52" s="12">
        <v>201</v>
      </c>
      <c r="G52" s="12">
        <f>SUM(E52:F52)</f>
        <v>243</v>
      </c>
      <c r="H52" s="11">
        <f t="shared" si="10"/>
        <v>583</v>
      </c>
      <c r="I52" s="12">
        <f t="shared" si="10"/>
        <v>1441</v>
      </c>
      <c r="J52" s="12">
        <f>SUM(H52:I52)</f>
        <v>2024</v>
      </c>
    </row>
    <row r="53" spans="1:10" ht="12.75">
      <c r="A53" s="2" t="s">
        <v>9</v>
      </c>
      <c r="B53" s="11">
        <v>198</v>
      </c>
      <c r="C53" s="12">
        <v>348</v>
      </c>
      <c r="D53" s="12">
        <f>SUM(B53:C53)</f>
        <v>546</v>
      </c>
      <c r="E53" s="11">
        <v>14</v>
      </c>
      <c r="F53" s="12">
        <v>57</v>
      </c>
      <c r="G53" s="12">
        <f>SUM(E53:F53)</f>
        <v>71</v>
      </c>
      <c r="H53" s="11">
        <f t="shared" si="10"/>
        <v>212</v>
      </c>
      <c r="I53" s="12">
        <f t="shared" si="10"/>
        <v>405</v>
      </c>
      <c r="J53" s="12">
        <f>SUM(H53:I53)</f>
        <v>617</v>
      </c>
    </row>
    <row r="54" spans="1:10" ht="12.75">
      <c r="A54" s="2" t="s">
        <v>10</v>
      </c>
      <c r="B54" s="11">
        <v>222</v>
      </c>
      <c r="C54" s="12">
        <v>483</v>
      </c>
      <c r="D54" s="12">
        <f>SUM(B54:C54)</f>
        <v>705</v>
      </c>
      <c r="E54" s="11">
        <v>14</v>
      </c>
      <c r="F54" s="12">
        <v>61</v>
      </c>
      <c r="G54" s="12">
        <f>SUM(E54:F54)</f>
        <v>75</v>
      </c>
      <c r="H54" s="11">
        <f t="shared" si="10"/>
        <v>236</v>
      </c>
      <c r="I54" s="12">
        <f t="shared" si="10"/>
        <v>544</v>
      </c>
      <c r="J54" s="12">
        <f>SUM(H54:I54)</f>
        <v>780</v>
      </c>
    </row>
    <row r="55" spans="1:10" s="17" customFormat="1" ht="12.75">
      <c r="A55" s="19" t="s">
        <v>4</v>
      </c>
      <c r="B55" s="15">
        <f aca="true" t="shared" si="11" ref="B55:J55">SUM(B51:B54)</f>
        <v>1491</v>
      </c>
      <c r="C55" s="16">
        <f t="shared" si="11"/>
        <v>3110</v>
      </c>
      <c r="D55" s="16">
        <f t="shared" si="11"/>
        <v>4601</v>
      </c>
      <c r="E55" s="15">
        <f t="shared" si="11"/>
        <v>106</v>
      </c>
      <c r="F55" s="16">
        <f t="shared" si="11"/>
        <v>504</v>
      </c>
      <c r="G55" s="16">
        <f t="shared" si="11"/>
        <v>610</v>
      </c>
      <c r="H55" s="15">
        <f t="shared" si="11"/>
        <v>1597</v>
      </c>
      <c r="I55" s="16">
        <f t="shared" si="11"/>
        <v>3614</v>
      </c>
      <c r="J55" s="16">
        <f t="shared" si="11"/>
        <v>5211</v>
      </c>
    </row>
    <row r="56" spans="1:10" ht="12.75">
      <c r="A56" s="2"/>
      <c r="B56" s="11"/>
      <c r="C56" s="12"/>
      <c r="D56" s="12"/>
      <c r="E56" s="11"/>
      <c r="F56" s="12"/>
      <c r="G56" s="12"/>
      <c r="H56" s="11"/>
      <c r="I56" s="12"/>
      <c r="J56" s="12"/>
    </row>
    <row r="57" spans="1:10" ht="12.75">
      <c r="A57" s="1" t="s">
        <v>46</v>
      </c>
      <c r="B57" s="11"/>
      <c r="C57" s="12"/>
      <c r="D57" s="12"/>
      <c r="E57" s="11"/>
      <c r="F57" s="12"/>
      <c r="G57" s="12"/>
      <c r="H57" s="11"/>
      <c r="I57" s="12"/>
      <c r="J57" s="12"/>
    </row>
    <row r="58" spans="1:10" ht="12.75">
      <c r="A58" s="2" t="s">
        <v>42</v>
      </c>
      <c r="B58" s="11">
        <v>116</v>
      </c>
      <c r="C58" s="12">
        <v>128</v>
      </c>
      <c r="D58" s="12">
        <f>SUM(B58:C58)</f>
        <v>244</v>
      </c>
      <c r="E58" s="11">
        <v>3</v>
      </c>
      <c r="F58" s="12">
        <v>15</v>
      </c>
      <c r="G58" s="12">
        <f>SUM(E58:F58)</f>
        <v>18</v>
      </c>
      <c r="H58" s="11">
        <f aca="true" t="shared" si="12" ref="H58:I61">SUM(B58,E58)</f>
        <v>119</v>
      </c>
      <c r="I58" s="12">
        <f t="shared" si="12"/>
        <v>143</v>
      </c>
      <c r="J58" s="12">
        <f>SUM(H58:I58)</f>
        <v>262</v>
      </c>
    </row>
    <row r="59" spans="1:10" ht="12.75">
      <c r="A59" s="2" t="s">
        <v>8</v>
      </c>
      <c r="B59" s="11">
        <v>155</v>
      </c>
      <c r="C59" s="12">
        <v>196</v>
      </c>
      <c r="D59" s="12">
        <f>SUM(B59:C59)</f>
        <v>351</v>
      </c>
      <c r="E59" s="11">
        <v>1</v>
      </c>
      <c r="F59" s="12">
        <v>16</v>
      </c>
      <c r="G59" s="12">
        <f>SUM(E59:F59)</f>
        <v>17</v>
      </c>
      <c r="H59" s="11">
        <f t="shared" si="12"/>
        <v>156</v>
      </c>
      <c r="I59" s="12">
        <f t="shared" si="12"/>
        <v>212</v>
      </c>
      <c r="J59" s="12">
        <f>SUM(H59:I59)</f>
        <v>368</v>
      </c>
    </row>
    <row r="60" spans="1:10" ht="12.75">
      <c r="A60" s="2" t="s">
        <v>9</v>
      </c>
      <c r="B60" s="11">
        <v>36</v>
      </c>
      <c r="C60" s="12">
        <v>42</v>
      </c>
      <c r="D60" s="12">
        <f>SUM(B60:C60)</f>
        <v>78</v>
      </c>
      <c r="E60" s="11">
        <v>1</v>
      </c>
      <c r="F60" s="12">
        <v>4</v>
      </c>
      <c r="G60" s="12">
        <f>SUM(E60:F60)</f>
        <v>5</v>
      </c>
      <c r="H60" s="11">
        <f t="shared" si="12"/>
        <v>37</v>
      </c>
      <c r="I60" s="12">
        <f t="shared" si="12"/>
        <v>46</v>
      </c>
      <c r="J60" s="12">
        <f>SUM(H60:I60)</f>
        <v>83</v>
      </c>
    </row>
    <row r="61" spans="1:10" ht="12.75">
      <c r="A61" s="2" t="s">
        <v>10</v>
      </c>
      <c r="B61" s="11">
        <v>32</v>
      </c>
      <c r="C61" s="12">
        <v>32</v>
      </c>
      <c r="D61" s="12">
        <f>SUM(B61:C61)</f>
        <v>64</v>
      </c>
      <c r="E61" s="11">
        <v>1</v>
      </c>
      <c r="F61" s="12">
        <v>12</v>
      </c>
      <c r="G61" s="12">
        <f>SUM(E61:F61)</f>
        <v>13</v>
      </c>
      <c r="H61" s="11">
        <f t="shared" si="12"/>
        <v>33</v>
      </c>
      <c r="I61" s="12">
        <f t="shared" si="12"/>
        <v>44</v>
      </c>
      <c r="J61" s="12">
        <f>SUM(H61:I61)</f>
        <v>77</v>
      </c>
    </row>
    <row r="62" spans="1:10" s="17" customFormat="1" ht="12.75">
      <c r="A62" s="19" t="s">
        <v>4</v>
      </c>
      <c r="B62" s="15">
        <f aca="true" t="shared" si="13" ref="B62:J62">SUM(B58:B61)</f>
        <v>339</v>
      </c>
      <c r="C62" s="16">
        <f t="shared" si="13"/>
        <v>398</v>
      </c>
      <c r="D62" s="16">
        <f t="shared" si="13"/>
        <v>737</v>
      </c>
      <c r="E62" s="15">
        <f t="shared" si="13"/>
        <v>6</v>
      </c>
      <c r="F62" s="16">
        <f t="shared" si="13"/>
        <v>47</v>
      </c>
      <c r="G62" s="16">
        <f t="shared" si="13"/>
        <v>53</v>
      </c>
      <c r="H62" s="15">
        <f t="shared" si="13"/>
        <v>345</v>
      </c>
      <c r="I62" s="16">
        <f t="shared" si="13"/>
        <v>445</v>
      </c>
      <c r="J62" s="16">
        <f t="shared" si="13"/>
        <v>790</v>
      </c>
    </row>
    <row r="63" spans="1:10" ht="12.75">
      <c r="A63" s="2"/>
      <c r="B63" s="11"/>
      <c r="C63" s="12"/>
      <c r="D63" s="12"/>
      <c r="E63" s="11"/>
      <c r="F63" s="12"/>
      <c r="G63" s="12"/>
      <c r="H63" s="11"/>
      <c r="I63" s="12"/>
      <c r="J63" s="12"/>
    </row>
    <row r="64" spans="1:10" ht="12.75">
      <c r="A64" s="1" t="s">
        <v>15</v>
      </c>
      <c r="B64" s="11"/>
      <c r="C64" s="12"/>
      <c r="D64" s="12"/>
      <c r="E64" s="11"/>
      <c r="F64" s="12"/>
      <c r="G64" s="12"/>
      <c r="H64" s="11"/>
      <c r="I64" s="12"/>
      <c r="J64" s="12"/>
    </row>
    <row r="65" spans="1:10" ht="12.75">
      <c r="A65" s="2" t="s">
        <v>42</v>
      </c>
      <c r="B65" s="11">
        <v>157</v>
      </c>
      <c r="C65" s="12">
        <v>191</v>
      </c>
      <c r="D65" s="12">
        <f>SUM(B65:C65)</f>
        <v>348</v>
      </c>
      <c r="E65" s="11">
        <v>9</v>
      </c>
      <c r="F65" s="12">
        <v>11</v>
      </c>
      <c r="G65" s="12">
        <f>SUM(E65:F65)</f>
        <v>20</v>
      </c>
      <c r="H65" s="11">
        <f aca="true" t="shared" si="14" ref="H65:I68">SUM(B65,E65)</f>
        <v>166</v>
      </c>
      <c r="I65" s="12">
        <f t="shared" si="14"/>
        <v>202</v>
      </c>
      <c r="J65" s="12">
        <f>SUM(H65:I65)</f>
        <v>368</v>
      </c>
    </row>
    <row r="66" spans="1:10" ht="12.75">
      <c r="A66" s="2" t="s">
        <v>8</v>
      </c>
      <c r="B66" s="11">
        <v>16</v>
      </c>
      <c r="C66" s="12">
        <v>23</v>
      </c>
      <c r="D66" s="12">
        <f>SUM(B66:C66)</f>
        <v>39</v>
      </c>
      <c r="E66" s="13" t="s">
        <v>107</v>
      </c>
      <c r="F66" s="12">
        <v>3</v>
      </c>
      <c r="G66" s="12">
        <f>SUM(E66:F66)</f>
        <v>3</v>
      </c>
      <c r="H66" s="11">
        <f t="shared" si="14"/>
        <v>16</v>
      </c>
      <c r="I66" s="12">
        <f t="shared" si="14"/>
        <v>26</v>
      </c>
      <c r="J66" s="12">
        <f>SUM(H66:I66)</f>
        <v>42</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1529</v>
      </c>
      <c r="C68" s="25">
        <v>2163</v>
      </c>
      <c r="D68" s="25">
        <f>SUM(B68:C68)</f>
        <v>3692</v>
      </c>
      <c r="E68" s="11">
        <v>43</v>
      </c>
      <c r="F68" s="25">
        <v>139</v>
      </c>
      <c r="G68" s="25">
        <f>SUM(E68:F68)</f>
        <v>182</v>
      </c>
      <c r="H68" s="11">
        <f t="shared" si="14"/>
        <v>1572</v>
      </c>
      <c r="I68" s="25">
        <f t="shared" si="14"/>
        <v>2302</v>
      </c>
      <c r="J68" s="25">
        <f>SUM(H68:I68)</f>
        <v>3874</v>
      </c>
    </row>
    <row r="69" spans="1:10" s="17" customFormat="1" ht="12.75">
      <c r="A69" s="19" t="s">
        <v>4</v>
      </c>
      <c r="B69" s="15">
        <f aca="true" t="shared" si="15" ref="B69:J69">SUM(B65:B68)</f>
        <v>1702</v>
      </c>
      <c r="C69" s="16">
        <f t="shared" si="15"/>
        <v>2377</v>
      </c>
      <c r="D69" s="16">
        <f t="shared" si="15"/>
        <v>4079</v>
      </c>
      <c r="E69" s="15">
        <f t="shared" si="15"/>
        <v>52</v>
      </c>
      <c r="F69" s="16">
        <f t="shared" si="15"/>
        <v>153</v>
      </c>
      <c r="G69" s="16">
        <f t="shared" si="15"/>
        <v>205</v>
      </c>
      <c r="H69" s="15">
        <f t="shared" si="15"/>
        <v>1754</v>
      </c>
      <c r="I69" s="16">
        <f t="shared" si="15"/>
        <v>2530</v>
      </c>
      <c r="J69" s="16">
        <f t="shared" si="15"/>
        <v>4284</v>
      </c>
    </row>
    <row r="70" spans="1:10" ht="12.75">
      <c r="A70" s="2"/>
      <c r="B70" s="11"/>
      <c r="C70" s="12"/>
      <c r="D70" s="12"/>
      <c r="E70" s="11"/>
      <c r="F70" s="12"/>
      <c r="G70" s="12"/>
      <c r="H70" s="11"/>
      <c r="I70" s="12"/>
      <c r="J70" s="12"/>
    </row>
    <row r="71" spans="1:10" ht="12.75">
      <c r="A71" s="1" t="s">
        <v>122</v>
      </c>
      <c r="B71" s="11"/>
      <c r="C71" s="12"/>
      <c r="D71" s="12"/>
      <c r="E71" s="11"/>
      <c r="F71" s="12"/>
      <c r="G71" s="12"/>
      <c r="H71" s="11"/>
      <c r="I71" s="12"/>
      <c r="J71" s="12"/>
    </row>
    <row r="72" spans="1:12" ht="12.75">
      <c r="A72" s="2" t="s">
        <v>42</v>
      </c>
      <c r="B72" s="11">
        <v>0</v>
      </c>
      <c r="C72" s="12">
        <v>0</v>
      </c>
      <c r="D72" s="12">
        <f>SUM(B72:C72)</f>
        <v>0</v>
      </c>
      <c r="E72" s="11">
        <v>410</v>
      </c>
      <c r="F72" s="12">
        <v>1620</v>
      </c>
      <c r="G72" s="12">
        <f>SUM(E72:F72)</f>
        <v>2030</v>
      </c>
      <c r="H72" s="11">
        <f aca="true" t="shared" si="16" ref="H72:I76">SUM(B72,E72)</f>
        <v>410</v>
      </c>
      <c r="I72" s="12">
        <f t="shared" si="16"/>
        <v>1620</v>
      </c>
      <c r="J72" s="12">
        <f>SUM(H72:I72)</f>
        <v>2030</v>
      </c>
      <c r="K72" s="12"/>
      <c r="L72" s="12"/>
    </row>
    <row r="73" spans="1:12" ht="12.75">
      <c r="A73" s="2" t="s">
        <v>8</v>
      </c>
      <c r="B73" s="11">
        <v>0</v>
      </c>
      <c r="C73" s="12">
        <v>0</v>
      </c>
      <c r="D73" s="12">
        <f>SUM(B73:C73)</f>
        <v>0</v>
      </c>
      <c r="E73" s="11">
        <v>455</v>
      </c>
      <c r="F73" s="12">
        <v>1941</v>
      </c>
      <c r="G73" s="12">
        <f>SUM(E73:F73)</f>
        <v>2396</v>
      </c>
      <c r="H73" s="11">
        <f t="shared" si="16"/>
        <v>455</v>
      </c>
      <c r="I73" s="12">
        <f t="shared" si="16"/>
        <v>1941</v>
      </c>
      <c r="J73" s="12">
        <f>SUM(H73:I73)</f>
        <v>2396</v>
      </c>
      <c r="K73" s="12"/>
      <c r="L73" s="12"/>
    </row>
    <row r="74" spans="1:12" ht="12.75">
      <c r="A74" s="2" t="s">
        <v>9</v>
      </c>
      <c r="B74" s="11">
        <v>0</v>
      </c>
      <c r="C74" s="12">
        <v>0</v>
      </c>
      <c r="D74" s="12">
        <f>SUM(B74:C74)</f>
        <v>0</v>
      </c>
      <c r="E74" s="11">
        <v>13</v>
      </c>
      <c r="F74" s="12">
        <v>52</v>
      </c>
      <c r="G74" s="12">
        <f>SUM(E74:F74)</f>
        <v>65</v>
      </c>
      <c r="H74" s="11">
        <f t="shared" si="16"/>
        <v>13</v>
      </c>
      <c r="I74" s="12">
        <f t="shared" si="16"/>
        <v>52</v>
      </c>
      <c r="J74" s="12">
        <f>SUM(H74:I74)</f>
        <v>65</v>
      </c>
      <c r="K74" s="12"/>
      <c r="L74" s="12"/>
    </row>
    <row r="75" spans="1:10" ht="12.75">
      <c r="A75" s="22" t="s">
        <v>10</v>
      </c>
      <c r="B75" s="11">
        <v>0</v>
      </c>
      <c r="C75" s="25">
        <v>0</v>
      </c>
      <c r="D75" s="25">
        <f>SUM(B75:C75)</f>
        <v>0</v>
      </c>
      <c r="E75" s="11">
        <v>59</v>
      </c>
      <c r="F75" s="25">
        <v>204</v>
      </c>
      <c r="G75" s="25">
        <f>SUM(E75:F75)</f>
        <v>263</v>
      </c>
      <c r="H75" s="11">
        <f t="shared" si="16"/>
        <v>59</v>
      </c>
      <c r="I75" s="25">
        <f t="shared" si="16"/>
        <v>204</v>
      </c>
      <c r="J75" s="25">
        <f>SUM(H75:I75)</f>
        <v>263</v>
      </c>
    </row>
    <row r="76" spans="1:10" ht="12.75">
      <c r="A76" s="22" t="s">
        <v>16</v>
      </c>
      <c r="B76" s="11">
        <v>0</v>
      </c>
      <c r="C76" s="25">
        <v>0</v>
      </c>
      <c r="D76" s="25">
        <f>SUM(B76:C76)</f>
        <v>0</v>
      </c>
      <c r="E76" s="11">
        <v>133</v>
      </c>
      <c r="F76" s="25">
        <v>129</v>
      </c>
      <c r="G76" s="25">
        <f>SUM(E76:F76)</f>
        <v>262</v>
      </c>
      <c r="H76" s="11">
        <f t="shared" si="16"/>
        <v>133</v>
      </c>
      <c r="I76" s="25">
        <f t="shared" si="16"/>
        <v>129</v>
      </c>
      <c r="J76" s="25">
        <f>SUM(H76:I76)</f>
        <v>262</v>
      </c>
    </row>
    <row r="77" spans="1:10" s="17" customFormat="1" ht="12.75">
      <c r="A77" s="19" t="s">
        <v>4</v>
      </c>
      <c r="B77" s="15">
        <f>SUM(B72:B76)</f>
        <v>0</v>
      </c>
      <c r="C77" s="16">
        <f aca="true" t="shared" si="17" ref="C77:J77">SUM(C72:C76)</f>
        <v>0</v>
      </c>
      <c r="D77" s="16">
        <f t="shared" si="17"/>
        <v>0</v>
      </c>
      <c r="E77" s="15">
        <f t="shared" si="17"/>
        <v>1070</v>
      </c>
      <c r="F77" s="16">
        <f t="shared" si="17"/>
        <v>3946</v>
      </c>
      <c r="G77" s="16">
        <f t="shared" si="17"/>
        <v>5016</v>
      </c>
      <c r="H77" s="15">
        <f t="shared" si="17"/>
        <v>1070</v>
      </c>
      <c r="I77" s="16">
        <f t="shared" si="17"/>
        <v>3946</v>
      </c>
      <c r="J77" s="16">
        <f t="shared" si="17"/>
        <v>5016</v>
      </c>
    </row>
    <row r="78" spans="1:10" s="17" customFormat="1" ht="12.75" customHeight="1">
      <c r="A78" s="19"/>
      <c r="B78" s="20"/>
      <c r="C78" s="21"/>
      <c r="D78" s="21"/>
      <c r="E78" s="20"/>
      <c r="F78" s="21"/>
      <c r="G78" s="21"/>
      <c r="H78" s="20"/>
      <c r="I78" s="21"/>
      <c r="J78" s="21"/>
    </row>
    <row r="79" spans="1:12" ht="27.75" customHeight="1">
      <c r="A79" s="201" t="s">
        <v>83</v>
      </c>
      <c r="B79" s="23">
        <f>SUM(B77,B69,B62,B55,B45,B42,B35,B28,B21,B14,B48)</f>
        <v>37979</v>
      </c>
      <c r="C79" s="24">
        <f aca="true" t="shared" si="18" ref="C79:J79">SUM(C77,C69,C62,C55,C45,C42,C35,C28,C21,C14,C48)</f>
        <v>99167</v>
      </c>
      <c r="D79" s="24">
        <f t="shared" si="18"/>
        <v>137146</v>
      </c>
      <c r="E79" s="23">
        <f t="shared" si="18"/>
        <v>4592</v>
      </c>
      <c r="F79" s="24">
        <f t="shared" si="18"/>
        <v>18229</v>
      </c>
      <c r="G79" s="202">
        <f t="shared" si="18"/>
        <v>22821</v>
      </c>
      <c r="H79" s="23">
        <f t="shared" si="18"/>
        <v>42571</v>
      </c>
      <c r="I79" s="24">
        <f t="shared" si="18"/>
        <v>117396</v>
      </c>
      <c r="J79" s="24">
        <f t="shared" si="18"/>
        <v>159967</v>
      </c>
      <c r="L79" s="12"/>
    </row>
    <row r="80" spans="1:10" ht="12.75">
      <c r="A80" s="22"/>
      <c r="B80" s="25"/>
      <c r="C80" s="25"/>
      <c r="D80" s="25"/>
      <c r="E80" s="25"/>
      <c r="F80" s="25"/>
      <c r="G80" s="25"/>
      <c r="H80" s="25"/>
      <c r="I80" s="25"/>
      <c r="J80" s="25"/>
    </row>
    <row r="81" spans="1:10" ht="12.75">
      <c r="A81" s="174" t="s">
        <v>121</v>
      </c>
      <c r="B81" s="12"/>
      <c r="C81" s="12"/>
      <c r="D81" s="12"/>
      <c r="E81" s="12"/>
      <c r="F81" s="12"/>
      <c r="G81" s="12"/>
      <c r="H81" s="12"/>
      <c r="I81" s="12"/>
      <c r="J81" s="12"/>
    </row>
    <row r="82" spans="1:10" s="222" customFormat="1" ht="12.75">
      <c r="A82" s="223"/>
      <c r="B82" s="221"/>
      <c r="C82" s="221"/>
      <c r="D82" s="221"/>
      <c r="E82" s="221"/>
      <c r="F82" s="221"/>
      <c r="G82" s="221"/>
      <c r="H82" s="221"/>
      <c r="I82" s="221"/>
      <c r="J82" s="221"/>
    </row>
    <row r="83" spans="2:10" ht="12.75">
      <c r="B83" s="12"/>
      <c r="C83" s="12"/>
      <c r="D83" s="12"/>
      <c r="E83" s="12"/>
      <c r="F83" s="12"/>
      <c r="G83" s="12"/>
      <c r="H83" s="12"/>
      <c r="I83" s="12"/>
      <c r="J83" s="12"/>
    </row>
    <row r="84" spans="2:10" ht="12.75">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sheetData>
  <sheetProtection/>
  <mergeCells count="1">
    <mergeCell ref="A2:J2"/>
  </mergeCells>
  <printOptions horizontalCentered="1"/>
  <pageMargins left="0.1968503937007874" right="0.1968503937007874" top="0.5905511811023623" bottom="0.3937007874015748" header="0.5118110236220472" footer="0.5118110236220472"/>
  <pageSetup fitToHeight="1" fitToWidth="1" horizontalDpi="300" verticalDpi="300" orientation="portrait" paperSize="9" scale="72"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tabColor theme="2"/>
    <pageSetUpPr fitToPage="1"/>
  </sheetPr>
  <dimension ref="A1:I66"/>
  <sheetViews>
    <sheetView zoomScalePageLayoutView="0" workbookViewId="0" topLeftCell="A1">
      <selection activeCell="A72" sqref="A72"/>
    </sheetView>
  </sheetViews>
  <sheetFormatPr defaultColWidth="9.28125" defaultRowHeight="12.75"/>
  <cols>
    <col min="1" max="1" width="32.28125" style="27" customWidth="1"/>
    <col min="2" max="9" width="9.7109375" style="27" customWidth="1"/>
    <col min="10" max="16384" width="9.28125" style="27" customWidth="1"/>
  </cols>
  <sheetData>
    <row r="1" ht="12.75">
      <c r="A1" s="26" t="s">
        <v>101</v>
      </c>
    </row>
    <row r="2" spans="1:9" ht="12.75">
      <c r="A2" s="239" t="s">
        <v>17</v>
      </c>
      <c r="B2" s="239"/>
      <c r="C2" s="239"/>
      <c r="D2" s="239"/>
      <c r="E2" s="239"/>
      <c r="F2" s="239"/>
      <c r="G2" s="239"/>
      <c r="H2" s="239"/>
      <c r="I2" s="239"/>
    </row>
    <row r="3" spans="1:5" ht="12.75">
      <c r="A3" s="29"/>
      <c r="B3" s="30"/>
      <c r="C3" s="30"/>
      <c r="D3" s="30"/>
      <c r="E3" s="30"/>
    </row>
    <row r="4" spans="1:9" ht="12.75">
      <c r="A4" s="240" t="s">
        <v>68</v>
      </c>
      <c r="B4" s="240"/>
      <c r="C4" s="240"/>
      <c r="D4" s="240"/>
      <c r="E4" s="240"/>
      <c r="F4" s="240"/>
      <c r="G4" s="240"/>
      <c r="H4" s="240"/>
      <c r="I4" s="240"/>
    </row>
    <row r="5" ht="13.5" thickBot="1">
      <c r="A5" s="28"/>
    </row>
    <row r="6" spans="1:9" ht="12.75">
      <c r="A6" s="31"/>
      <c r="B6" s="32"/>
      <c r="C6" s="32"/>
      <c r="D6" s="32"/>
      <c r="E6" s="32"/>
      <c r="F6" s="32"/>
      <c r="G6" s="32"/>
      <c r="H6" s="32"/>
      <c r="I6" s="32"/>
    </row>
    <row r="7" spans="1:9" s="138" customFormat="1" ht="12.75">
      <c r="A7" s="136"/>
      <c r="B7" s="137" t="s">
        <v>65</v>
      </c>
      <c r="C7" s="218" t="s">
        <v>66</v>
      </c>
      <c r="D7" s="218" t="s">
        <v>67</v>
      </c>
      <c r="E7" s="218" t="s">
        <v>78</v>
      </c>
      <c r="F7" s="218" t="s">
        <v>79</v>
      </c>
      <c r="G7" s="218" t="s">
        <v>80</v>
      </c>
      <c r="H7" s="218" t="s">
        <v>100</v>
      </c>
      <c r="I7" s="218" t="s">
        <v>103</v>
      </c>
    </row>
    <row r="8" spans="1:9" ht="12.75">
      <c r="A8" s="33"/>
      <c r="B8" s="34"/>
      <c r="C8" s="34"/>
      <c r="D8" s="34"/>
      <c r="E8" s="34"/>
      <c r="F8" s="34"/>
      <c r="G8" s="34"/>
      <c r="H8" s="34"/>
      <c r="I8" s="34"/>
    </row>
    <row r="9" spans="1:9" ht="12.75">
      <c r="A9" s="26"/>
      <c r="B9" s="35"/>
      <c r="C9" s="35"/>
      <c r="D9" s="35"/>
      <c r="E9" s="35"/>
      <c r="F9" s="35"/>
      <c r="G9" s="35"/>
      <c r="H9" s="35"/>
      <c r="I9" s="35"/>
    </row>
    <row r="10" spans="1:9" ht="12.75">
      <c r="A10" s="26" t="s">
        <v>7</v>
      </c>
      <c r="B10" s="34"/>
      <c r="C10" s="34"/>
      <c r="D10" s="34"/>
      <c r="E10" s="34"/>
      <c r="F10" s="34"/>
      <c r="G10" s="34"/>
      <c r="H10" s="34"/>
      <c r="I10" s="34"/>
    </row>
    <row r="11" spans="1:9" ht="12.75">
      <c r="A11" s="28" t="s">
        <v>18</v>
      </c>
      <c r="B11" s="36">
        <v>34376</v>
      </c>
      <c r="C11" s="36">
        <v>35352</v>
      </c>
      <c r="D11" s="36">
        <v>35704</v>
      </c>
      <c r="E11" s="36">
        <v>36951</v>
      </c>
      <c r="F11" s="36">
        <v>37339</v>
      </c>
      <c r="G11" s="36">
        <v>37835</v>
      </c>
      <c r="H11" s="36">
        <v>38122</v>
      </c>
      <c r="I11" s="36">
        <v>38853</v>
      </c>
    </row>
    <row r="12" spans="1:9" ht="12.75">
      <c r="A12" s="28" t="s">
        <v>19</v>
      </c>
      <c r="B12" s="36">
        <v>12435</v>
      </c>
      <c r="C12" s="36">
        <v>11142</v>
      </c>
      <c r="D12" s="36">
        <v>13429</v>
      </c>
      <c r="E12" s="36">
        <v>12800</v>
      </c>
      <c r="F12" s="36">
        <v>13111</v>
      </c>
      <c r="G12" s="36">
        <v>13411</v>
      </c>
      <c r="H12" s="36">
        <v>13679</v>
      </c>
      <c r="I12" s="36">
        <v>13280</v>
      </c>
    </row>
    <row r="13" spans="1:9" s="39" customFormat="1" ht="12.75">
      <c r="A13" s="37" t="s">
        <v>4</v>
      </c>
      <c r="B13" s="38">
        <f aca="true" t="shared" si="0" ref="B13:I13">SUM(B11:B12)</f>
        <v>46811</v>
      </c>
      <c r="C13" s="38">
        <f t="shared" si="0"/>
        <v>46494</v>
      </c>
      <c r="D13" s="38">
        <f t="shared" si="0"/>
        <v>49133</v>
      </c>
      <c r="E13" s="38">
        <f t="shared" si="0"/>
        <v>49751</v>
      </c>
      <c r="F13" s="38">
        <f t="shared" si="0"/>
        <v>50450</v>
      </c>
      <c r="G13" s="38">
        <f t="shared" si="0"/>
        <v>51246</v>
      </c>
      <c r="H13" s="38">
        <f t="shared" si="0"/>
        <v>51801</v>
      </c>
      <c r="I13" s="38">
        <f t="shared" si="0"/>
        <v>52133</v>
      </c>
    </row>
    <row r="14" spans="1:9" ht="12.75">
      <c r="A14" s="40"/>
      <c r="B14" s="36"/>
      <c r="C14" s="36"/>
      <c r="D14" s="36"/>
      <c r="E14" s="36"/>
      <c r="F14" s="36"/>
      <c r="G14" s="36"/>
      <c r="H14" s="36"/>
      <c r="I14" s="36"/>
    </row>
    <row r="15" spans="1:9" ht="12.75">
      <c r="A15" s="26" t="s">
        <v>11</v>
      </c>
      <c r="B15" s="36"/>
      <c r="C15" s="36"/>
      <c r="D15" s="36"/>
      <c r="E15" s="36"/>
      <c r="F15" s="36"/>
      <c r="G15" s="36"/>
      <c r="H15" s="36"/>
      <c r="I15" s="36"/>
    </row>
    <row r="16" spans="1:9" ht="12.75">
      <c r="A16" s="28" t="s">
        <v>18</v>
      </c>
      <c r="B16" s="36">
        <v>4422</v>
      </c>
      <c r="C16" s="36">
        <v>4644</v>
      </c>
      <c r="D16" s="36">
        <v>4711</v>
      </c>
      <c r="E16" s="36">
        <v>4724</v>
      </c>
      <c r="F16" s="36">
        <v>4711</v>
      </c>
      <c r="G16" s="36">
        <v>4693</v>
      </c>
      <c r="H16" s="36">
        <v>4613</v>
      </c>
      <c r="I16" s="36">
        <v>4598</v>
      </c>
    </row>
    <row r="17" spans="1:9" ht="12.75">
      <c r="A17" s="28" t="s">
        <v>19</v>
      </c>
      <c r="B17" s="36">
        <v>1686</v>
      </c>
      <c r="C17" s="36">
        <v>1473</v>
      </c>
      <c r="D17" s="36">
        <v>1514</v>
      </c>
      <c r="E17" s="36">
        <v>1525</v>
      </c>
      <c r="F17" s="36">
        <v>1538</v>
      </c>
      <c r="G17" s="36">
        <v>1534</v>
      </c>
      <c r="H17" s="36">
        <v>1534</v>
      </c>
      <c r="I17" s="36">
        <v>1568</v>
      </c>
    </row>
    <row r="18" spans="1:9" s="39" customFormat="1" ht="12.75">
      <c r="A18" s="37" t="s">
        <v>4</v>
      </c>
      <c r="B18" s="38">
        <f aca="true" t="shared" si="1" ref="B18:I18">SUM(B16:B17)</f>
        <v>6108</v>
      </c>
      <c r="C18" s="38">
        <f t="shared" si="1"/>
        <v>6117</v>
      </c>
      <c r="D18" s="38">
        <f t="shared" si="1"/>
        <v>6225</v>
      </c>
      <c r="E18" s="38">
        <f t="shared" si="1"/>
        <v>6249</v>
      </c>
      <c r="F18" s="38">
        <f t="shared" si="1"/>
        <v>6249</v>
      </c>
      <c r="G18" s="38">
        <f t="shared" si="1"/>
        <v>6227</v>
      </c>
      <c r="H18" s="38">
        <f t="shared" si="1"/>
        <v>6147</v>
      </c>
      <c r="I18" s="38">
        <f t="shared" si="1"/>
        <v>6166</v>
      </c>
    </row>
    <row r="19" spans="1:9" ht="12.75">
      <c r="A19" s="28"/>
      <c r="B19" s="36"/>
      <c r="C19" s="36"/>
      <c r="D19" s="36"/>
      <c r="E19" s="36"/>
      <c r="F19" s="36"/>
      <c r="G19" s="36"/>
      <c r="H19" s="36"/>
      <c r="I19" s="36"/>
    </row>
    <row r="20" spans="1:9" ht="12.75">
      <c r="A20" s="26" t="s">
        <v>12</v>
      </c>
      <c r="B20" s="36"/>
      <c r="C20" s="36"/>
      <c r="D20" s="36"/>
      <c r="E20" s="36"/>
      <c r="F20" s="36"/>
      <c r="G20" s="36"/>
      <c r="H20" s="36"/>
      <c r="I20" s="36"/>
    </row>
    <row r="21" spans="1:9" ht="12.75">
      <c r="A21" s="28" t="s">
        <v>18</v>
      </c>
      <c r="B21" s="36">
        <v>41638</v>
      </c>
      <c r="C21" s="36">
        <v>42782</v>
      </c>
      <c r="D21" s="36">
        <v>42150</v>
      </c>
      <c r="E21" s="36">
        <v>41545</v>
      </c>
      <c r="F21" s="36">
        <v>40983</v>
      </c>
      <c r="G21" s="36">
        <v>41092</v>
      </c>
      <c r="H21" s="36">
        <v>40453</v>
      </c>
      <c r="I21" s="36">
        <f>41653-I31</f>
        <v>40640</v>
      </c>
    </row>
    <row r="22" spans="1:9" ht="12.75">
      <c r="A22" s="28" t="s">
        <v>19</v>
      </c>
      <c r="B22" s="36">
        <v>14144</v>
      </c>
      <c r="C22" s="36">
        <v>12241</v>
      </c>
      <c r="D22" s="36">
        <v>12410</v>
      </c>
      <c r="E22" s="36">
        <v>12546</v>
      </c>
      <c r="F22" s="36">
        <v>12716</v>
      </c>
      <c r="G22" s="36">
        <v>12549</v>
      </c>
      <c r="H22" s="36">
        <v>13102</v>
      </c>
      <c r="I22" s="36">
        <f>13305-I32</f>
        <v>13009</v>
      </c>
    </row>
    <row r="23" spans="1:9" s="39" customFormat="1" ht="12.75">
      <c r="A23" s="37" t="s">
        <v>4</v>
      </c>
      <c r="B23" s="38">
        <f aca="true" t="shared" si="2" ref="B23:I23">SUM(B21:B22)</f>
        <v>55782</v>
      </c>
      <c r="C23" s="38">
        <f t="shared" si="2"/>
        <v>55023</v>
      </c>
      <c r="D23" s="38">
        <f t="shared" si="2"/>
        <v>54560</v>
      </c>
      <c r="E23" s="38">
        <f t="shared" si="2"/>
        <v>54091</v>
      </c>
      <c r="F23" s="38">
        <f t="shared" si="2"/>
        <v>53699</v>
      </c>
      <c r="G23" s="38">
        <f t="shared" si="2"/>
        <v>53641</v>
      </c>
      <c r="H23" s="38">
        <f t="shared" si="2"/>
        <v>53555</v>
      </c>
      <c r="I23" s="38">
        <f t="shared" si="2"/>
        <v>53649</v>
      </c>
    </row>
    <row r="24" spans="1:9" ht="12.75">
      <c r="A24" s="40"/>
      <c r="B24" s="36"/>
      <c r="C24" s="36"/>
      <c r="D24" s="36"/>
      <c r="E24" s="36"/>
      <c r="F24" s="36"/>
      <c r="G24" s="36"/>
      <c r="H24" s="36"/>
      <c r="I24" s="36"/>
    </row>
    <row r="25" spans="1:9" ht="12.75">
      <c r="A25" s="26" t="s">
        <v>13</v>
      </c>
      <c r="B25" s="36"/>
      <c r="C25" s="36"/>
      <c r="D25" s="36"/>
      <c r="E25" s="36"/>
      <c r="F25" s="36"/>
      <c r="G25" s="36"/>
      <c r="H25" s="36"/>
      <c r="I25" s="36"/>
    </row>
    <row r="26" spans="1:9" ht="12.75">
      <c r="A26" s="28" t="s">
        <v>18</v>
      </c>
      <c r="B26" s="36">
        <v>4256</v>
      </c>
      <c r="C26" s="36">
        <v>2322</v>
      </c>
      <c r="D26" s="36">
        <v>4656</v>
      </c>
      <c r="E26" s="36">
        <v>4815</v>
      </c>
      <c r="F26" s="36">
        <v>4903</v>
      </c>
      <c r="G26" s="36">
        <v>5018</v>
      </c>
      <c r="H26" s="36">
        <v>5062</v>
      </c>
      <c r="I26" s="36">
        <v>5138</v>
      </c>
    </row>
    <row r="27" spans="1:9" ht="12.75">
      <c r="A27" s="28" t="s">
        <v>19</v>
      </c>
      <c r="B27" s="36">
        <v>1891</v>
      </c>
      <c r="C27" s="36">
        <v>3979</v>
      </c>
      <c r="D27" s="36">
        <v>1850</v>
      </c>
      <c r="E27" s="36">
        <v>1902</v>
      </c>
      <c r="F27" s="36">
        <v>1920</v>
      </c>
      <c r="G27" s="36">
        <v>1912</v>
      </c>
      <c r="H27" s="36">
        <v>1898</v>
      </c>
      <c r="I27" s="36">
        <v>1958</v>
      </c>
    </row>
    <row r="28" spans="1:9" s="39" customFormat="1" ht="12.75">
      <c r="A28" s="37" t="s">
        <v>4</v>
      </c>
      <c r="B28" s="38">
        <f aca="true" t="shared" si="3" ref="B28:I28">SUM(B26:B27)</f>
        <v>6147</v>
      </c>
      <c r="C28" s="38">
        <f t="shared" si="3"/>
        <v>6301</v>
      </c>
      <c r="D28" s="38">
        <f t="shared" si="3"/>
        <v>6506</v>
      </c>
      <c r="E28" s="38">
        <f t="shared" si="3"/>
        <v>6717</v>
      </c>
      <c r="F28" s="38">
        <f t="shared" si="3"/>
        <v>6823</v>
      </c>
      <c r="G28" s="38">
        <f t="shared" si="3"/>
        <v>6930</v>
      </c>
      <c r="H28" s="38">
        <f t="shared" si="3"/>
        <v>6960</v>
      </c>
      <c r="I28" s="38">
        <f t="shared" si="3"/>
        <v>7096</v>
      </c>
    </row>
    <row r="29" spans="1:9" s="39" customFormat="1" ht="12.75">
      <c r="A29" s="37"/>
      <c r="B29" s="41"/>
      <c r="C29" s="41"/>
      <c r="D29" s="41"/>
      <c r="E29" s="41"/>
      <c r="F29" s="41"/>
      <c r="G29" s="41"/>
      <c r="H29" s="41"/>
      <c r="I29" s="41"/>
    </row>
    <row r="30" spans="1:9" s="39" customFormat="1" ht="12.75">
      <c r="A30" s="26" t="s">
        <v>73</v>
      </c>
      <c r="B30" s="41"/>
      <c r="C30" s="41"/>
      <c r="D30" s="41"/>
      <c r="E30" s="41"/>
      <c r="F30" s="41"/>
      <c r="G30" s="41"/>
      <c r="H30" s="41"/>
      <c r="I30" s="41"/>
    </row>
    <row r="31" spans="1:9" s="39" customFormat="1" ht="12.75">
      <c r="A31" s="28" t="s">
        <v>18</v>
      </c>
      <c r="B31" s="36">
        <v>608</v>
      </c>
      <c r="C31" s="36">
        <v>669</v>
      </c>
      <c r="D31" s="36">
        <v>694</v>
      </c>
      <c r="E31" s="36">
        <v>767</v>
      </c>
      <c r="F31" s="36">
        <v>855</v>
      </c>
      <c r="G31" s="36">
        <v>903</v>
      </c>
      <c r="H31" s="36">
        <v>943</v>
      </c>
      <c r="I31" s="36">
        <v>1013</v>
      </c>
    </row>
    <row r="32" spans="1:9" s="39" customFormat="1" ht="12.75">
      <c r="A32" s="28" t="s">
        <v>19</v>
      </c>
      <c r="B32" s="36">
        <v>284</v>
      </c>
      <c r="C32" s="36">
        <v>290</v>
      </c>
      <c r="D32" s="36">
        <v>335</v>
      </c>
      <c r="E32" s="36">
        <v>356</v>
      </c>
      <c r="F32" s="36">
        <v>357</v>
      </c>
      <c r="G32" s="36">
        <v>339</v>
      </c>
      <c r="H32" s="36">
        <v>315</v>
      </c>
      <c r="I32" s="36">
        <v>296</v>
      </c>
    </row>
    <row r="33" spans="1:9" s="39" customFormat="1" ht="12.75">
      <c r="A33" s="37" t="s">
        <v>4</v>
      </c>
      <c r="B33" s="38">
        <f aca="true" t="shared" si="4" ref="B33:I33">SUM(B31:B32)</f>
        <v>892</v>
      </c>
      <c r="C33" s="38">
        <f t="shared" si="4"/>
        <v>959</v>
      </c>
      <c r="D33" s="38">
        <f t="shared" si="4"/>
        <v>1029</v>
      </c>
      <c r="E33" s="38">
        <f t="shared" si="4"/>
        <v>1123</v>
      </c>
      <c r="F33" s="38">
        <f t="shared" si="4"/>
        <v>1212</v>
      </c>
      <c r="G33" s="38">
        <f t="shared" si="4"/>
        <v>1242</v>
      </c>
      <c r="H33" s="38">
        <f t="shared" si="4"/>
        <v>1258</v>
      </c>
      <c r="I33" s="38">
        <f t="shared" si="4"/>
        <v>1309</v>
      </c>
    </row>
    <row r="34" spans="1:9" ht="12.75">
      <c r="A34" s="28"/>
      <c r="B34" s="36"/>
      <c r="C34" s="36"/>
      <c r="D34" s="36"/>
      <c r="E34" s="36"/>
      <c r="F34" s="36"/>
      <c r="G34" s="36"/>
      <c r="H34" s="36"/>
      <c r="I34" s="36"/>
    </row>
    <row r="35" spans="1:9" ht="12.75">
      <c r="A35" s="26" t="s">
        <v>14</v>
      </c>
      <c r="B35" s="36"/>
      <c r="C35" s="36"/>
      <c r="D35" s="36"/>
      <c r="E35" s="36"/>
      <c r="F35" s="36"/>
      <c r="G35" s="36"/>
      <c r="H35" s="36"/>
      <c r="I35" s="36"/>
    </row>
    <row r="36" spans="1:9" ht="12.75">
      <c r="A36" s="28" t="s">
        <v>18</v>
      </c>
      <c r="B36" s="36">
        <v>4756</v>
      </c>
      <c r="C36" s="36">
        <v>4681</v>
      </c>
      <c r="D36" s="36">
        <v>4662</v>
      </c>
      <c r="E36" s="36">
        <v>4069</v>
      </c>
      <c r="F36" s="36">
        <v>3838</v>
      </c>
      <c r="G36" s="36">
        <v>3884</v>
      </c>
      <c r="H36" s="36">
        <v>3757</v>
      </c>
      <c r="I36" s="36">
        <v>3805</v>
      </c>
    </row>
    <row r="37" spans="1:9" ht="12.75">
      <c r="A37" s="28" t="s">
        <v>19</v>
      </c>
      <c r="B37" s="36">
        <v>3056</v>
      </c>
      <c r="C37" s="36">
        <v>3009</v>
      </c>
      <c r="D37" s="36">
        <v>3026</v>
      </c>
      <c r="E37" s="36">
        <v>2527</v>
      </c>
      <c r="F37" s="36">
        <v>2479</v>
      </c>
      <c r="G37" s="36">
        <v>2418</v>
      </c>
      <c r="H37" s="36">
        <v>2525</v>
      </c>
      <c r="I37" s="36">
        <v>2605</v>
      </c>
    </row>
    <row r="38" spans="1:9" s="39" customFormat="1" ht="12.75">
      <c r="A38" s="37" t="s">
        <v>4</v>
      </c>
      <c r="B38" s="38">
        <f aca="true" t="shared" si="5" ref="B38:I38">SUM(B36:B37)</f>
        <v>7812</v>
      </c>
      <c r="C38" s="38">
        <f t="shared" si="5"/>
        <v>7690</v>
      </c>
      <c r="D38" s="38">
        <f t="shared" si="5"/>
        <v>7688</v>
      </c>
      <c r="E38" s="38">
        <f t="shared" si="5"/>
        <v>6596</v>
      </c>
      <c r="F38" s="38">
        <f t="shared" si="5"/>
        <v>6317</v>
      </c>
      <c r="G38" s="38">
        <f t="shared" si="5"/>
        <v>6302</v>
      </c>
      <c r="H38" s="38">
        <f t="shared" si="5"/>
        <v>6282</v>
      </c>
      <c r="I38" s="38">
        <f t="shared" si="5"/>
        <v>6410</v>
      </c>
    </row>
    <row r="39" spans="1:9" s="39" customFormat="1" ht="12.75">
      <c r="A39" s="37"/>
      <c r="B39" s="41"/>
      <c r="C39" s="41"/>
      <c r="D39" s="41"/>
      <c r="E39" s="41"/>
      <c r="F39" s="41"/>
      <c r="G39" s="41"/>
      <c r="H39" s="41"/>
      <c r="I39" s="41"/>
    </row>
    <row r="40" spans="1:9" s="39" customFormat="1" ht="12.75">
      <c r="A40" s="203" t="s">
        <v>48</v>
      </c>
      <c r="B40" s="41"/>
      <c r="C40" s="41"/>
      <c r="D40" s="41"/>
      <c r="E40" s="41"/>
      <c r="F40" s="41"/>
      <c r="G40" s="41"/>
      <c r="H40" s="41"/>
      <c r="I40" s="41"/>
    </row>
    <row r="41" spans="1:9" s="39" customFormat="1" ht="12.75">
      <c r="A41" s="28" t="s">
        <v>18</v>
      </c>
      <c r="B41" s="41">
        <v>0</v>
      </c>
      <c r="C41" s="41">
        <v>0</v>
      </c>
      <c r="D41" s="41">
        <v>0</v>
      </c>
      <c r="E41" s="41">
        <v>0</v>
      </c>
      <c r="F41" s="41">
        <v>0</v>
      </c>
      <c r="G41" s="41">
        <v>0</v>
      </c>
      <c r="H41" s="41">
        <v>0</v>
      </c>
      <c r="I41" s="41">
        <v>527</v>
      </c>
    </row>
    <row r="42" spans="1:9" s="39" customFormat="1" ht="12.75">
      <c r="A42" s="28" t="s">
        <v>19</v>
      </c>
      <c r="B42" s="36">
        <v>595</v>
      </c>
      <c r="C42" s="36">
        <v>616</v>
      </c>
      <c r="D42" s="36">
        <v>632</v>
      </c>
      <c r="E42" s="36">
        <v>644</v>
      </c>
      <c r="F42" s="36">
        <v>742</v>
      </c>
      <c r="G42" s="36">
        <v>816</v>
      </c>
      <c r="H42" s="36">
        <v>894</v>
      </c>
      <c r="I42" s="36">
        <v>439</v>
      </c>
    </row>
    <row r="43" spans="1:9" s="39" customFormat="1" ht="12.75">
      <c r="A43" s="37" t="s">
        <v>4</v>
      </c>
      <c r="B43" s="38">
        <f aca="true" t="shared" si="6" ref="B43:I43">B41+B42</f>
        <v>595</v>
      </c>
      <c r="C43" s="38">
        <f t="shared" si="6"/>
        <v>616</v>
      </c>
      <c r="D43" s="38">
        <f t="shared" si="6"/>
        <v>632</v>
      </c>
      <c r="E43" s="38">
        <f t="shared" si="6"/>
        <v>644</v>
      </c>
      <c r="F43" s="38">
        <f t="shared" si="6"/>
        <v>742</v>
      </c>
      <c r="G43" s="38">
        <f t="shared" si="6"/>
        <v>816</v>
      </c>
      <c r="H43" s="38">
        <f t="shared" si="6"/>
        <v>894</v>
      </c>
      <c r="I43" s="38">
        <f t="shared" si="6"/>
        <v>966</v>
      </c>
    </row>
    <row r="44" spans="1:9" ht="12.75">
      <c r="A44" s="28"/>
      <c r="B44" s="36"/>
      <c r="C44" s="36"/>
      <c r="D44" s="36"/>
      <c r="E44" s="36"/>
      <c r="F44" s="36"/>
      <c r="G44" s="36"/>
      <c r="H44" s="36"/>
      <c r="I44" s="36"/>
    </row>
    <row r="45" spans="1:9" ht="12.75">
      <c r="A45" s="1" t="s">
        <v>45</v>
      </c>
      <c r="B45" s="36"/>
      <c r="C45" s="36"/>
      <c r="D45" s="36"/>
      <c r="E45" s="36"/>
      <c r="F45" s="36"/>
      <c r="G45" s="36"/>
      <c r="H45" s="36"/>
      <c r="I45" s="36"/>
    </row>
    <row r="46" spans="1:9" ht="12.75">
      <c r="A46" s="28" t="s">
        <v>18</v>
      </c>
      <c r="B46" s="36">
        <v>2745</v>
      </c>
      <c r="C46" s="36">
        <v>2783</v>
      </c>
      <c r="D46" s="36">
        <v>2848</v>
      </c>
      <c r="E46" s="36">
        <v>2840</v>
      </c>
      <c r="F46" s="36">
        <v>2827</v>
      </c>
      <c r="G46" s="36">
        <v>2810</v>
      </c>
      <c r="H46" s="36">
        <v>2797</v>
      </c>
      <c r="I46" s="36">
        <v>2842</v>
      </c>
    </row>
    <row r="47" spans="1:9" ht="12.75">
      <c r="A47" s="28" t="s">
        <v>19</v>
      </c>
      <c r="B47" s="36">
        <v>1533</v>
      </c>
      <c r="C47" s="36">
        <v>1493</v>
      </c>
      <c r="D47" s="36">
        <v>1495</v>
      </c>
      <c r="E47" s="36">
        <v>1549</v>
      </c>
      <c r="F47" s="36">
        <v>1628</v>
      </c>
      <c r="G47" s="36">
        <v>1685</v>
      </c>
      <c r="H47" s="36">
        <v>1750</v>
      </c>
      <c r="I47" s="36">
        <v>1759</v>
      </c>
    </row>
    <row r="48" spans="1:9" s="39" customFormat="1" ht="12.75">
      <c r="A48" s="37" t="s">
        <v>4</v>
      </c>
      <c r="B48" s="38">
        <f aca="true" t="shared" si="7" ref="B48:I48">SUM(B46:B47)</f>
        <v>4278</v>
      </c>
      <c r="C48" s="38">
        <f t="shared" si="7"/>
        <v>4276</v>
      </c>
      <c r="D48" s="38">
        <f t="shared" si="7"/>
        <v>4343</v>
      </c>
      <c r="E48" s="38">
        <f t="shared" si="7"/>
        <v>4389</v>
      </c>
      <c r="F48" s="38">
        <f t="shared" si="7"/>
        <v>4455</v>
      </c>
      <c r="G48" s="38">
        <f t="shared" si="7"/>
        <v>4495</v>
      </c>
      <c r="H48" s="38">
        <f t="shared" si="7"/>
        <v>4547</v>
      </c>
      <c r="I48" s="38">
        <f t="shared" si="7"/>
        <v>4601</v>
      </c>
    </row>
    <row r="49" spans="1:9" ht="12.75">
      <c r="A49" s="28"/>
      <c r="B49" s="36"/>
      <c r="C49" s="36"/>
      <c r="D49" s="36"/>
      <c r="E49" s="36"/>
      <c r="F49" s="36"/>
      <c r="G49" s="36"/>
      <c r="H49" s="36"/>
      <c r="I49" s="36"/>
    </row>
    <row r="50" spans="1:9" ht="12.75">
      <c r="A50" s="1" t="s">
        <v>46</v>
      </c>
      <c r="B50" s="36"/>
      <c r="C50" s="36"/>
      <c r="D50" s="36"/>
      <c r="E50" s="36"/>
      <c r="F50" s="36"/>
      <c r="G50" s="36"/>
      <c r="H50" s="36"/>
      <c r="I50" s="36"/>
    </row>
    <row r="51" spans="1:9" ht="12.75">
      <c r="A51" s="28" t="s">
        <v>18</v>
      </c>
      <c r="B51" s="36">
        <v>444</v>
      </c>
      <c r="C51" s="36">
        <v>458</v>
      </c>
      <c r="D51" s="36">
        <v>464</v>
      </c>
      <c r="E51" s="36">
        <v>460</v>
      </c>
      <c r="F51" s="36">
        <v>451</v>
      </c>
      <c r="G51" s="36">
        <v>441</v>
      </c>
      <c r="H51" s="36">
        <v>407</v>
      </c>
      <c r="I51" s="36">
        <v>395</v>
      </c>
    </row>
    <row r="52" spans="1:9" ht="12.75">
      <c r="A52" s="28" t="s">
        <v>19</v>
      </c>
      <c r="B52" s="36">
        <v>314</v>
      </c>
      <c r="C52" s="36">
        <v>306</v>
      </c>
      <c r="D52" s="36">
        <v>279</v>
      </c>
      <c r="E52" s="36">
        <v>285</v>
      </c>
      <c r="F52" s="36">
        <v>318</v>
      </c>
      <c r="G52" s="36">
        <v>337</v>
      </c>
      <c r="H52" s="36">
        <v>357</v>
      </c>
      <c r="I52" s="36">
        <v>342</v>
      </c>
    </row>
    <row r="53" spans="1:9" s="39" customFormat="1" ht="12.75">
      <c r="A53" s="37" t="s">
        <v>4</v>
      </c>
      <c r="B53" s="38">
        <f aca="true" t="shared" si="8" ref="B53:I53">SUM(B51:B52)</f>
        <v>758</v>
      </c>
      <c r="C53" s="38">
        <f t="shared" si="8"/>
        <v>764</v>
      </c>
      <c r="D53" s="38">
        <f t="shared" si="8"/>
        <v>743</v>
      </c>
      <c r="E53" s="38">
        <f t="shared" si="8"/>
        <v>745</v>
      </c>
      <c r="F53" s="38">
        <f t="shared" si="8"/>
        <v>769</v>
      </c>
      <c r="G53" s="38">
        <f t="shared" si="8"/>
        <v>778</v>
      </c>
      <c r="H53" s="38">
        <f t="shared" si="8"/>
        <v>764</v>
      </c>
      <c r="I53" s="38">
        <f t="shared" si="8"/>
        <v>737</v>
      </c>
    </row>
    <row r="54" spans="1:9" s="39" customFormat="1" ht="12.75">
      <c r="A54" s="37"/>
      <c r="B54" s="41"/>
      <c r="C54" s="41"/>
      <c r="D54" s="41"/>
      <c r="E54" s="41"/>
      <c r="F54" s="41"/>
      <c r="G54" s="41"/>
      <c r="H54" s="41"/>
      <c r="I54" s="41"/>
    </row>
    <row r="55" spans="1:9" ht="12.75">
      <c r="A55" s="26" t="s">
        <v>15</v>
      </c>
      <c r="B55" s="36"/>
      <c r="C55" s="36"/>
      <c r="D55" s="36"/>
      <c r="E55" s="36"/>
      <c r="F55" s="36"/>
      <c r="G55" s="36"/>
      <c r="H55" s="36"/>
      <c r="I55" s="36"/>
    </row>
    <row r="56" spans="1:9" ht="12.75">
      <c r="A56" s="28" t="s">
        <v>18</v>
      </c>
      <c r="B56" s="36">
        <v>3036</v>
      </c>
      <c r="C56" s="36">
        <v>3121</v>
      </c>
      <c r="D56" s="36">
        <v>3120</v>
      </c>
      <c r="E56" s="36">
        <v>3146</v>
      </c>
      <c r="F56" s="36">
        <v>3149</v>
      </c>
      <c r="G56" s="36">
        <v>3152</v>
      </c>
      <c r="H56" s="36">
        <v>3139</v>
      </c>
      <c r="I56" s="36">
        <v>3182</v>
      </c>
    </row>
    <row r="57" spans="1:9" ht="12.75">
      <c r="A57" s="28" t="s">
        <v>19</v>
      </c>
      <c r="B57" s="36">
        <v>994</v>
      </c>
      <c r="C57" s="36">
        <v>912</v>
      </c>
      <c r="D57" s="36">
        <v>936</v>
      </c>
      <c r="E57" s="36">
        <v>920</v>
      </c>
      <c r="F57" s="36">
        <v>953</v>
      </c>
      <c r="G57" s="36">
        <v>933</v>
      </c>
      <c r="H57" s="36">
        <v>922</v>
      </c>
      <c r="I57" s="36">
        <v>897</v>
      </c>
    </row>
    <row r="58" spans="1:9" s="39" customFormat="1" ht="12.75">
      <c r="A58" s="37" t="s">
        <v>4</v>
      </c>
      <c r="B58" s="38">
        <f aca="true" t="shared" si="9" ref="B58:I58">SUM(B56:B57)</f>
        <v>4030</v>
      </c>
      <c r="C58" s="38">
        <f t="shared" si="9"/>
        <v>4033</v>
      </c>
      <c r="D58" s="38">
        <f t="shared" si="9"/>
        <v>4056</v>
      </c>
      <c r="E58" s="38">
        <f t="shared" si="9"/>
        <v>4066</v>
      </c>
      <c r="F58" s="38">
        <f t="shared" si="9"/>
        <v>4102</v>
      </c>
      <c r="G58" s="38">
        <f t="shared" si="9"/>
        <v>4085</v>
      </c>
      <c r="H58" s="38">
        <f t="shared" si="9"/>
        <v>4061</v>
      </c>
      <c r="I58" s="38">
        <f t="shared" si="9"/>
        <v>4079</v>
      </c>
    </row>
    <row r="59" spans="1:9" ht="12.75">
      <c r="A59" s="169"/>
      <c r="B59" s="170"/>
      <c r="C59" s="170"/>
      <c r="D59" s="170"/>
      <c r="E59" s="170"/>
      <c r="F59" s="170"/>
      <c r="G59" s="170"/>
      <c r="H59" s="170"/>
      <c r="I59" s="170"/>
    </row>
    <row r="60" spans="1:9" ht="12.75">
      <c r="A60" s="42" t="s">
        <v>81</v>
      </c>
      <c r="B60" s="36"/>
      <c r="C60" s="36"/>
      <c r="D60" s="36"/>
      <c r="E60" s="36"/>
      <c r="F60" s="36"/>
      <c r="G60" s="36"/>
      <c r="H60" s="36"/>
      <c r="I60" s="36"/>
    </row>
    <row r="61" spans="1:9" ht="12.75">
      <c r="A61" s="28" t="s">
        <v>18</v>
      </c>
      <c r="B61" s="36">
        <f aca="true" t="shared" si="10" ref="B61:G62">SUM(B11,B16,B21,B26,B31,B36,B46,B51,B56,B41)</f>
        <v>96281</v>
      </c>
      <c r="C61" s="36">
        <f t="shared" si="10"/>
        <v>96812</v>
      </c>
      <c r="D61" s="36">
        <f t="shared" si="10"/>
        <v>99009</v>
      </c>
      <c r="E61" s="36">
        <f t="shared" si="10"/>
        <v>99317</v>
      </c>
      <c r="F61" s="36">
        <f t="shared" si="10"/>
        <v>99056</v>
      </c>
      <c r="G61" s="36">
        <f t="shared" si="10"/>
        <v>99828</v>
      </c>
      <c r="H61" s="36">
        <f>SUM(H11,H16,H21,H26,H31,H36,H46,H51,H56,H41)</f>
        <v>99293</v>
      </c>
      <c r="I61" s="36">
        <f>SUM(I11,I16,I21,I26,I31,I36,I46,I51,I56,I41)</f>
        <v>100993</v>
      </c>
    </row>
    <row r="62" spans="1:9" ht="12.75">
      <c r="A62" s="28" t="s">
        <v>19</v>
      </c>
      <c r="B62" s="36">
        <f t="shared" si="10"/>
        <v>36932</v>
      </c>
      <c r="C62" s="36">
        <f t="shared" si="10"/>
        <v>35461</v>
      </c>
      <c r="D62" s="36">
        <f t="shared" si="10"/>
        <v>35906</v>
      </c>
      <c r="E62" s="36">
        <f t="shared" si="10"/>
        <v>35054</v>
      </c>
      <c r="F62" s="36">
        <f t="shared" si="10"/>
        <v>35762</v>
      </c>
      <c r="G62" s="36">
        <f t="shared" si="10"/>
        <v>35934</v>
      </c>
      <c r="H62" s="36">
        <f>SUM(H12,H17,H22,H27,H32,H37,H47,H52,H57,H42)</f>
        <v>36976</v>
      </c>
      <c r="I62" s="36">
        <f>SUM(I12,I17,I22,I27,I32,I37,I47,I52,I57,I42)</f>
        <v>36153</v>
      </c>
    </row>
    <row r="63" spans="1:9" s="39" customFormat="1" ht="12.75">
      <c r="A63" s="37" t="s">
        <v>4</v>
      </c>
      <c r="B63" s="38">
        <f aca="true" t="shared" si="11" ref="B63:I63">SUM(B61:B62)</f>
        <v>133213</v>
      </c>
      <c r="C63" s="38">
        <f t="shared" si="11"/>
        <v>132273</v>
      </c>
      <c r="D63" s="38">
        <f t="shared" si="11"/>
        <v>134915</v>
      </c>
      <c r="E63" s="38">
        <f t="shared" si="11"/>
        <v>134371</v>
      </c>
      <c r="F63" s="38">
        <f t="shared" si="11"/>
        <v>134818</v>
      </c>
      <c r="G63" s="38">
        <f t="shared" si="11"/>
        <v>135762</v>
      </c>
      <c r="H63" s="38">
        <f t="shared" si="11"/>
        <v>136269</v>
      </c>
      <c r="I63" s="38">
        <f t="shared" si="11"/>
        <v>137146</v>
      </c>
    </row>
    <row r="65" ht="12.75">
      <c r="A65" s="212" t="s">
        <v>61</v>
      </c>
    </row>
    <row r="66" ht="12.75">
      <c r="A66" s="224"/>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92"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tabColor theme="2"/>
    <pageSetUpPr fitToPage="1"/>
  </sheetPr>
  <dimension ref="A1:I72"/>
  <sheetViews>
    <sheetView zoomScalePageLayoutView="0" workbookViewId="0" topLeftCell="A1">
      <selection activeCell="A79" sqref="A79"/>
    </sheetView>
  </sheetViews>
  <sheetFormatPr defaultColWidth="9.28125" defaultRowHeight="12.75"/>
  <cols>
    <col min="1" max="1" width="30.28125" style="44" customWidth="1"/>
    <col min="2" max="9" width="9.00390625" style="44" customWidth="1"/>
    <col min="10" max="16384" width="9.28125" style="44" customWidth="1"/>
  </cols>
  <sheetData>
    <row r="1" ht="12.75">
      <c r="A1" s="43" t="s">
        <v>101</v>
      </c>
    </row>
    <row r="2" spans="1:9" ht="12.75">
      <c r="A2" s="241" t="s">
        <v>20</v>
      </c>
      <c r="B2" s="241"/>
      <c r="C2" s="241"/>
      <c r="D2" s="241"/>
      <c r="E2" s="241"/>
      <c r="F2" s="241"/>
      <c r="G2" s="241"/>
      <c r="H2" s="241"/>
      <c r="I2" s="241"/>
    </row>
    <row r="3" spans="1:5" ht="12.75">
      <c r="A3" s="46"/>
      <c r="B3" s="47"/>
      <c r="C3" s="47"/>
      <c r="D3" s="47"/>
      <c r="E3" s="47"/>
    </row>
    <row r="4" spans="1:9" ht="12.75">
      <c r="A4" s="242" t="s">
        <v>68</v>
      </c>
      <c r="B4" s="242"/>
      <c r="C4" s="242"/>
      <c r="D4" s="242"/>
      <c r="E4" s="242"/>
      <c r="F4" s="242"/>
      <c r="G4" s="242"/>
      <c r="H4" s="242"/>
      <c r="I4" s="242"/>
    </row>
    <row r="5" ht="13.5" thickBot="1">
      <c r="A5" s="45"/>
    </row>
    <row r="6" spans="1:9" ht="12.75">
      <c r="A6" s="48"/>
      <c r="B6" s="49"/>
      <c r="C6" s="49"/>
      <c r="D6" s="49"/>
      <c r="E6" s="49"/>
      <c r="F6" s="49"/>
      <c r="G6" s="49"/>
      <c r="H6" s="49"/>
      <c r="I6" s="49"/>
    </row>
    <row r="7" spans="1:9" s="138" customFormat="1" ht="12.75">
      <c r="A7" s="136"/>
      <c r="B7" s="137" t="s">
        <v>65</v>
      </c>
      <c r="C7" s="218" t="s">
        <v>66</v>
      </c>
      <c r="D7" s="218" t="s">
        <v>67</v>
      </c>
      <c r="E7" s="218" t="s">
        <v>78</v>
      </c>
      <c r="F7" s="218" t="s">
        <v>79</v>
      </c>
      <c r="G7" s="218" t="s">
        <v>80</v>
      </c>
      <c r="H7" s="218" t="s">
        <v>100</v>
      </c>
      <c r="I7" s="218" t="s">
        <v>103</v>
      </c>
    </row>
    <row r="8" spans="1:9" ht="12.75">
      <c r="A8" s="50"/>
      <c r="B8" s="51"/>
      <c r="C8" s="51"/>
      <c r="D8" s="51"/>
      <c r="E8" s="51"/>
      <c r="F8" s="51"/>
      <c r="G8" s="51"/>
      <c r="H8" s="51"/>
      <c r="I8" s="51"/>
    </row>
    <row r="9" spans="1:9" ht="12.75">
      <c r="A9" s="43"/>
      <c r="B9" s="52"/>
      <c r="C9" s="52"/>
      <c r="D9" s="52"/>
      <c r="E9" s="52"/>
      <c r="F9" s="52"/>
      <c r="G9" s="52"/>
      <c r="H9" s="52"/>
      <c r="I9" s="52"/>
    </row>
    <row r="10" spans="1:9" ht="12.75">
      <c r="A10" s="43" t="s">
        <v>7</v>
      </c>
      <c r="B10" s="51"/>
      <c r="C10" s="51"/>
      <c r="D10" s="51"/>
      <c r="E10" s="51"/>
      <c r="F10" s="51"/>
      <c r="G10" s="51"/>
      <c r="H10" s="51"/>
      <c r="I10" s="51"/>
    </row>
    <row r="11" spans="1:9" ht="12.75">
      <c r="A11" s="45" t="s">
        <v>18</v>
      </c>
      <c r="B11" s="53">
        <v>2908</v>
      </c>
      <c r="C11" s="53">
        <v>3111</v>
      </c>
      <c r="D11" s="53">
        <v>3169</v>
      </c>
      <c r="E11" s="53">
        <v>3220</v>
      </c>
      <c r="F11" s="53">
        <v>3230</v>
      </c>
      <c r="G11" s="53">
        <v>3290</v>
      </c>
      <c r="H11" s="53">
        <v>3319</v>
      </c>
      <c r="I11" s="53">
        <v>3367</v>
      </c>
    </row>
    <row r="12" spans="1:9" ht="12.75">
      <c r="A12" s="45" t="s">
        <v>19</v>
      </c>
      <c r="B12" s="53">
        <v>1634</v>
      </c>
      <c r="C12" s="53">
        <v>1517</v>
      </c>
      <c r="D12" s="53">
        <v>1566</v>
      </c>
      <c r="E12" s="53">
        <v>1575</v>
      </c>
      <c r="F12" s="53">
        <v>1654</v>
      </c>
      <c r="G12" s="53">
        <v>1706</v>
      </c>
      <c r="H12" s="53">
        <v>1743</v>
      </c>
      <c r="I12" s="53">
        <v>1607</v>
      </c>
    </row>
    <row r="13" spans="1:9" s="56" customFormat="1" ht="12.75">
      <c r="A13" s="54" t="s">
        <v>4</v>
      </c>
      <c r="B13" s="55">
        <f aca="true" t="shared" si="0" ref="B13:I13">SUM(B11:B12)</f>
        <v>4542</v>
      </c>
      <c r="C13" s="55">
        <f t="shared" si="0"/>
        <v>4628</v>
      </c>
      <c r="D13" s="55">
        <f t="shared" si="0"/>
        <v>4735</v>
      </c>
      <c r="E13" s="55">
        <f t="shared" si="0"/>
        <v>4795</v>
      </c>
      <c r="F13" s="55">
        <f t="shared" si="0"/>
        <v>4884</v>
      </c>
      <c r="G13" s="55">
        <f t="shared" si="0"/>
        <v>4996</v>
      </c>
      <c r="H13" s="55">
        <f t="shared" si="0"/>
        <v>5062</v>
      </c>
      <c r="I13" s="55">
        <f t="shared" si="0"/>
        <v>4974</v>
      </c>
    </row>
    <row r="14" spans="1:9" ht="12.75">
      <c r="A14" s="57"/>
      <c r="B14" s="53"/>
      <c r="C14" s="53"/>
      <c r="D14" s="53"/>
      <c r="E14" s="53"/>
      <c r="F14" s="53"/>
      <c r="G14" s="53"/>
      <c r="H14" s="53"/>
      <c r="I14" s="53"/>
    </row>
    <row r="15" spans="1:9" ht="12.75">
      <c r="A15" s="43" t="s">
        <v>11</v>
      </c>
      <c r="B15" s="53"/>
      <c r="C15" s="53"/>
      <c r="D15" s="53"/>
      <c r="E15" s="53"/>
      <c r="F15" s="53"/>
      <c r="G15" s="53"/>
      <c r="H15" s="53"/>
      <c r="I15" s="53"/>
    </row>
    <row r="16" spans="1:9" ht="12.75">
      <c r="A16" s="45" t="s">
        <v>18</v>
      </c>
      <c r="B16" s="53">
        <v>1403</v>
      </c>
      <c r="C16" s="53">
        <v>1545</v>
      </c>
      <c r="D16" s="53">
        <v>1570</v>
      </c>
      <c r="E16" s="53">
        <v>1589</v>
      </c>
      <c r="F16" s="53">
        <v>1610</v>
      </c>
      <c r="G16" s="53">
        <v>1642</v>
      </c>
      <c r="H16" s="53">
        <v>1642</v>
      </c>
      <c r="I16" s="53">
        <v>1703</v>
      </c>
    </row>
    <row r="17" spans="1:9" ht="12.75">
      <c r="A17" s="45" t="s">
        <v>19</v>
      </c>
      <c r="B17" s="53">
        <v>756</v>
      </c>
      <c r="C17" s="53">
        <v>650</v>
      </c>
      <c r="D17" s="53">
        <v>673</v>
      </c>
      <c r="E17" s="53">
        <v>682</v>
      </c>
      <c r="F17" s="53">
        <v>737</v>
      </c>
      <c r="G17" s="53">
        <v>754</v>
      </c>
      <c r="H17" s="53">
        <v>759</v>
      </c>
      <c r="I17" s="53">
        <v>789</v>
      </c>
    </row>
    <row r="18" spans="1:9" s="56" customFormat="1" ht="12.75">
      <c r="A18" s="54" t="s">
        <v>4</v>
      </c>
      <c r="B18" s="55">
        <f aca="true" t="shared" si="1" ref="B18:I18">SUM(B16:B17)</f>
        <v>2159</v>
      </c>
      <c r="C18" s="55">
        <f t="shared" si="1"/>
        <v>2195</v>
      </c>
      <c r="D18" s="55">
        <f t="shared" si="1"/>
        <v>2243</v>
      </c>
      <c r="E18" s="55">
        <f t="shared" si="1"/>
        <v>2271</v>
      </c>
      <c r="F18" s="55">
        <f t="shared" si="1"/>
        <v>2347</v>
      </c>
      <c r="G18" s="55">
        <f t="shared" si="1"/>
        <v>2396</v>
      </c>
      <c r="H18" s="55">
        <f t="shared" si="1"/>
        <v>2401</v>
      </c>
      <c r="I18" s="55">
        <f t="shared" si="1"/>
        <v>2492</v>
      </c>
    </row>
    <row r="19" spans="1:9" ht="12.75">
      <c r="A19" s="45"/>
      <c r="B19" s="53"/>
      <c r="C19" s="53"/>
      <c r="D19" s="53"/>
      <c r="E19" s="53"/>
      <c r="F19" s="53"/>
      <c r="G19" s="53"/>
      <c r="H19" s="53"/>
      <c r="I19" s="53"/>
    </row>
    <row r="20" spans="1:9" ht="12.75">
      <c r="A20" s="43" t="s">
        <v>12</v>
      </c>
      <c r="B20" s="53"/>
      <c r="C20" s="53"/>
      <c r="D20" s="53"/>
      <c r="E20" s="53"/>
      <c r="F20" s="53"/>
      <c r="G20" s="53"/>
      <c r="H20" s="53"/>
      <c r="I20" s="53"/>
    </row>
    <row r="21" spans="1:9" ht="12.75">
      <c r="A21" s="45" t="s">
        <v>18</v>
      </c>
      <c r="B21" s="53">
        <v>4972</v>
      </c>
      <c r="C21" s="53">
        <v>4996</v>
      </c>
      <c r="D21" s="53">
        <v>4902</v>
      </c>
      <c r="E21" s="53">
        <v>4805</v>
      </c>
      <c r="F21" s="53">
        <v>4728</v>
      </c>
      <c r="G21" s="53">
        <v>4577</v>
      </c>
      <c r="H21" s="53">
        <v>4410</v>
      </c>
      <c r="I21" s="53">
        <f>4392-I31</f>
        <v>4299</v>
      </c>
    </row>
    <row r="22" spans="1:9" ht="12.75">
      <c r="A22" s="45" t="s">
        <v>19</v>
      </c>
      <c r="B22" s="53">
        <v>1745</v>
      </c>
      <c r="C22" s="53">
        <v>1574</v>
      </c>
      <c r="D22" s="53">
        <v>1617</v>
      </c>
      <c r="E22" s="53">
        <v>1617</v>
      </c>
      <c r="F22" s="53">
        <v>1651</v>
      </c>
      <c r="G22" s="53">
        <v>1575</v>
      </c>
      <c r="H22" s="53">
        <v>1615</v>
      </c>
      <c r="I22" s="53">
        <f>1534-I32</f>
        <v>1504</v>
      </c>
    </row>
    <row r="23" spans="1:9" s="56" customFormat="1" ht="12.75">
      <c r="A23" s="54" t="s">
        <v>4</v>
      </c>
      <c r="B23" s="55">
        <f aca="true" t="shared" si="2" ref="B23:I23">SUM(B21:B22)</f>
        <v>6717</v>
      </c>
      <c r="C23" s="55">
        <f t="shared" si="2"/>
        <v>6570</v>
      </c>
      <c r="D23" s="55">
        <f t="shared" si="2"/>
        <v>6519</v>
      </c>
      <c r="E23" s="55">
        <f t="shared" si="2"/>
        <v>6422</v>
      </c>
      <c r="F23" s="55">
        <f t="shared" si="2"/>
        <v>6379</v>
      </c>
      <c r="G23" s="55">
        <f t="shared" si="2"/>
        <v>6152</v>
      </c>
      <c r="H23" s="55">
        <f t="shared" si="2"/>
        <v>6025</v>
      </c>
      <c r="I23" s="55">
        <f t="shared" si="2"/>
        <v>5803</v>
      </c>
    </row>
    <row r="24" spans="1:9" ht="12.75">
      <c r="A24" s="57"/>
      <c r="B24" s="53"/>
      <c r="C24" s="53"/>
      <c r="D24" s="53"/>
      <c r="E24" s="53"/>
      <c r="F24" s="53"/>
      <c r="G24" s="53"/>
      <c r="H24" s="53"/>
      <c r="I24" s="53"/>
    </row>
    <row r="25" spans="1:9" ht="12.75">
      <c r="A25" s="43" t="s">
        <v>13</v>
      </c>
      <c r="B25" s="53"/>
      <c r="C25" s="53"/>
      <c r="D25" s="53"/>
      <c r="E25" s="53"/>
      <c r="F25" s="53"/>
      <c r="G25" s="53"/>
      <c r="H25" s="53"/>
      <c r="I25" s="53"/>
    </row>
    <row r="26" spans="1:9" ht="12.75">
      <c r="A26" s="45" t="s">
        <v>18</v>
      </c>
      <c r="B26" s="53">
        <v>721</v>
      </c>
      <c r="C26" s="53">
        <v>769</v>
      </c>
      <c r="D26" s="53">
        <v>785</v>
      </c>
      <c r="E26" s="53">
        <v>811</v>
      </c>
      <c r="F26" s="53">
        <v>840</v>
      </c>
      <c r="G26" s="53">
        <v>847</v>
      </c>
      <c r="H26" s="53">
        <v>873</v>
      </c>
      <c r="I26" s="53">
        <v>914</v>
      </c>
    </row>
    <row r="27" spans="1:9" ht="12.75">
      <c r="A27" s="45" t="s">
        <v>19</v>
      </c>
      <c r="B27" s="53">
        <v>360</v>
      </c>
      <c r="C27" s="53">
        <v>346</v>
      </c>
      <c r="D27" s="53">
        <v>370</v>
      </c>
      <c r="E27" s="53">
        <v>416</v>
      </c>
      <c r="F27" s="53">
        <v>447</v>
      </c>
      <c r="G27" s="53">
        <v>468</v>
      </c>
      <c r="H27" s="53">
        <v>429</v>
      </c>
      <c r="I27" s="53">
        <v>430</v>
      </c>
    </row>
    <row r="28" spans="1:9" s="56" customFormat="1" ht="12.75">
      <c r="A28" s="54" t="s">
        <v>4</v>
      </c>
      <c r="B28" s="55">
        <f aca="true" t="shared" si="3" ref="B28:I28">SUM(B26:B27)</f>
        <v>1081</v>
      </c>
      <c r="C28" s="55">
        <f t="shared" si="3"/>
        <v>1115</v>
      </c>
      <c r="D28" s="55">
        <f t="shared" si="3"/>
        <v>1155</v>
      </c>
      <c r="E28" s="55">
        <f t="shared" si="3"/>
        <v>1227</v>
      </c>
      <c r="F28" s="55">
        <f t="shared" si="3"/>
        <v>1287</v>
      </c>
      <c r="G28" s="55">
        <f t="shared" si="3"/>
        <v>1315</v>
      </c>
      <c r="H28" s="55">
        <f t="shared" si="3"/>
        <v>1302</v>
      </c>
      <c r="I28" s="55">
        <f t="shared" si="3"/>
        <v>1344</v>
      </c>
    </row>
    <row r="29" spans="1:9" s="56" customFormat="1" ht="12.75">
      <c r="A29" s="54"/>
      <c r="B29" s="204"/>
      <c r="C29" s="204"/>
      <c r="D29" s="204"/>
      <c r="E29" s="204"/>
      <c r="F29" s="204"/>
      <c r="G29" s="204"/>
      <c r="H29" s="204"/>
      <c r="I29" s="204"/>
    </row>
    <row r="30" spans="1:9" s="56" customFormat="1" ht="12.75">
      <c r="A30" s="43" t="s">
        <v>73</v>
      </c>
      <c r="B30" s="204"/>
      <c r="C30" s="204"/>
      <c r="D30" s="204"/>
      <c r="E30" s="204"/>
      <c r="F30" s="204"/>
      <c r="G30" s="204"/>
      <c r="H30" s="204"/>
      <c r="I30" s="204"/>
    </row>
    <row r="31" spans="1:9" s="56" customFormat="1" ht="12.75">
      <c r="A31" s="45" t="s">
        <v>18</v>
      </c>
      <c r="B31" s="204">
        <v>15</v>
      </c>
      <c r="C31" s="204">
        <v>16</v>
      </c>
      <c r="D31" s="204">
        <v>16</v>
      </c>
      <c r="E31" s="204">
        <v>16</v>
      </c>
      <c r="F31" s="204">
        <v>16</v>
      </c>
      <c r="G31" s="204">
        <v>14</v>
      </c>
      <c r="H31" s="204">
        <v>16</v>
      </c>
      <c r="I31" s="204">
        <v>93</v>
      </c>
    </row>
    <row r="32" spans="1:9" s="56" customFormat="1" ht="12.75">
      <c r="A32" s="45" t="s">
        <v>19</v>
      </c>
      <c r="B32" s="204">
        <v>4</v>
      </c>
      <c r="C32" s="204">
        <v>3</v>
      </c>
      <c r="D32" s="204">
        <v>2</v>
      </c>
      <c r="E32" s="204">
        <v>4</v>
      </c>
      <c r="F32" s="204">
        <v>5</v>
      </c>
      <c r="G32" s="204">
        <v>6</v>
      </c>
      <c r="H32" s="204">
        <v>3</v>
      </c>
      <c r="I32" s="204">
        <v>30</v>
      </c>
    </row>
    <row r="33" spans="1:9" s="56" customFormat="1" ht="12.75">
      <c r="A33" s="54" t="s">
        <v>4</v>
      </c>
      <c r="B33" s="55">
        <f aca="true" t="shared" si="4" ref="B33:I33">SUM(B31:B32)</f>
        <v>19</v>
      </c>
      <c r="C33" s="55">
        <f t="shared" si="4"/>
        <v>19</v>
      </c>
      <c r="D33" s="55">
        <f t="shared" si="4"/>
        <v>18</v>
      </c>
      <c r="E33" s="55">
        <f t="shared" si="4"/>
        <v>20</v>
      </c>
      <c r="F33" s="55">
        <f t="shared" si="4"/>
        <v>21</v>
      </c>
      <c r="G33" s="55">
        <f t="shared" si="4"/>
        <v>20</v>
      </c>
      <c r="H33" s="55">
        <f t="shared" si="4"/>
        <v>19</v>
      </c>
      <c r="I33" s="55">
        <f t="shared" si="4"/>
        <v>123</v>
      </c>
    </row>
    <row r="34" spans="1:9" ht="12.75">
      <c r="A34" s="45"/>
      <c r="B34" s="53"/>
      <c r="C34" s="53"/>
      <c r="D34" s="53"/>
      <c r="E34" s="53"/>
      <c r="F34" s="53"/>
      <c r="G34" s="53"/>
      <c r="H34" s="53"/>
      <c r="I34" s="53"/>
    </row>
    <row r="35" spans="1:9" ht="12.75">
      <c r="A35" s="43" t="s">
        <v>14</v>
      </c>
      <c r="B35" s="53"/>
      <c r="C35" s="53"/>
      <c r="D35" s="53"/>
      <c r="E35" s="53"/>
      <c r="F35" s="53"/>
      <c r="G35" s="53"/>
      <c r="H35" s="53"/>
      <c r="I35" s="53"/>
    </row>
    <row r="36" spans="1:9" ht="12.75">
      <c r="A36" s="45" t="s">
        <v>18</v>
      </c>
      <c r="B36" s="53">
        <v>1378</v>
      </c>
      <c r="C36" s="53">
        <v>1453</v>
      </c>
      <c r="D36" s="53">
        <v>1542</v>
      </c>
      <c r="E36" s="53">
        <v>1460</v>
      </c>
      <c r="F36" s="53">
        <v>1399</v>
      </c>
      <c r="G36" s="53">
        <v>1391</v>
      </c>
      <c r="H36" s="53">
        <v>1427</v>
      </c>
      <c r="I36" s="53">
        <v>1472</v>
      </c>
    </row>
    <row r="37" spans="1:9" ht="12.75">
      <c r="A37" s="45" t="s">
        <v>19</v>
      </c>
      <c r="B37" s="53">
        <v>783</v>
      </c>
      <c r="C37" s="53">
        <v>688</v>
      </c>
      <c r="D37" s="53">
        <v>693</v>
      </c>
      <c r="E37" s="53">
        <v>587</v>
      </c>
      <c r="F37" s="53">
        <v>566</v>
      </c>
      <c r="G37" s="53">
        <v>587</v>
      </c>
      <c r="H37" s="53">
        <v>605</v>
      </c>
      <c r="I37" s="53">
        <v>627</v>
      </c>
    </row>
    <row r="38" spans="1:9" s="56" customFormat="1" ht="12.75">
      <c r="A38" s="54" t="s">
        <v>4</v>
      </c>
      <c r="B38" s="55">
        <f aca="true" t="shared" si="5" ref="B38:I38">SUM(B36:B37)</f>
        <v>2161</v>
      </c>
      <c r="C38" s="55">
        <f t="shared" si="5"/>
        <v>2141</v>
      </c>
      <c r="D38" s="55">
        <f t="shared" si="5"/>
        <v>2235</v>
      </c>
      <c r="E38" s="55">
        <f t="shared" si="5"/>
        <v>2047</v>
      </c>
      <c r="F38" s="55">
        <f t="shared" si="5"/>
        <v>1965</v>
      </c>
      <c r="G38" s="55">
        <f t="shared" si="5"/>
        <v>1978</v>
      </c>
      <c r="H38" s="55">
        <f t="shared" si="5"/>
        <v>2032</v>
      </c>
      <c r="I38" s="55">
        <f t="shared" si="5"/>
        <v>2099</v>
      </c>
    </row>
    <row r="39" spans="1:9" ht="12.75">
      <c r="A39" s="45"/>
      <c r="B39" s="53"/>
      <c r="C39" s="53"/>
      <c r="D39" s="53"/>
      <c r="E39" s="53"/>
      <c r="F39" s="53"/>
      <c r="G39" s="53"/>
      <c r="H39" s="53"/>
      <c r="I39" s="53"/>
    </row>
    <row r="40" spans="1:9" ht="12.75">
      <c r="A40" s="1" t="s">
        <v>48</v>
      </c>
      <c r="B40" s="53"/>
      <c r="C40" s="53"/>
      <c r="D40" s="53"/>
      <c r="E40" s="53"/>
      <c r="F40" s="53"/>
      <c r="G40" s="53"/>
      <c r="H40" s="53"/>
      <c r="I40" s="53"/>
    </row>
    <row r="41" spans="1:9" ht="12.75">
      <c r="A41" s="45" t="s">
        <v>18</v>
      </c>
      <c r="B41" s="53">
        <v>0</v>
      </c>
      <c r="C41" s="53">
        <v>0</v>
      </c>
      <c r="D41" s="53">
        <v>0</v>
      </c>
      <c r="E41" s="53">
        <v>0</v>
      </c>
      <c r="F41" s="53">
        <v>0</v>
      </c>
      <c r="G41" s="53">
        <v>0</v>
      </c>
      <c r="H41" s="53">
        <v>0</v>
      </c>
      <c r="I41" s="53">
        <v>56</v>
      </c>
    </row>
    <row r="42" spans="1:9" ht="12.75">
      <c r="A42" s="45" t="s">
        <v>19</v>
      </c>
      <c r="B42" s="53">
        <v>57</v>
      </c>
      <c r="C42" s="53">
        <v>56</v>
      </c>
      <c r="D42" s="53">
        <v>60</v>
      </c>
      <c r="E42" s="53">
        <v>63</v>
      </c>
      <c r="F42" s="53">
        <v>70</v>
      </c>
      <c r="G42" s="53">
        <v>83</v>
      </c>
      <c r="H42" s="53">
        <v>86</v>
      </c>
      <c r="I42" s="53">
        <v>46</v>
      </c>
    </row>
    <row r="43" spans="1:9" ht="12.75">
      <c r="A43" s="54" t="s">
        <v>4</v>
      </c>
      <c r="B43" s="55">
        <f aca="true" t="shared" si="6" ref="B43:I43">B41+B42</f>
        <v>57</v>
      </c>
      <c r="C43" s="55">
        <f t="shared" si="6"/>
        <v>56</v>
      </c>
      <c r="D43" s="55">
        <f t="shared" si="6"/>
        <v>60</v>
      </c>
      <c r="E43" s="55">
        <f t="shared" si="6"/>
        <v>63</v>
      </c>
      <c r="F43" s="55">
        <f t="shared" si="6"/>
        <v>70</v>
      </c>
      <c r="G43" s="55">
        <f t="shared" si="6"/>
        <v>83</v>
      </c>
      <c r="H43" s="55">
        <f t="shared" si="6"/>
        <v>86</v>
      </c>
      <c r="I43" s="55">
        <f t="shared" si="6"/>
        <v>102</v>
      </c>
    </row>
    <row r="44" spans="1:9" ht="12.75">
      <c r="A44" s="45"/>
      <c r="B44" s="53"/>
      <c r="C44" s="53"/>
      <c r="D44" s="53"/>
      <c r="E44" s="53"/>
      <c r="F44" s="53"/>
      <c r="G44" s="53"/>
      <c r="H44" s="53"/>
      <c r="I44" s="53"/>
    </row>
    <row r="45" spans="1:9" ht="12.75">
      <c r="A45" s="1" t="s">
        <v>45</v>
      </c>
      <c r="B45" s="53"/>
      <c r="C45" s="53"/>
      <c r="D45" s="53"/>
      <c r="E45" s="53"/>
      <c r="F45" s="53"/>
      <c r="G45" s="53"/>
      <c r="H45" s="53"/>
      <c r="I45" s="53"/>
    </row>
    <row r="46" spans="1:9" ht="12.75">
      <c r="A46" s="45" t="s">
        <v>18</v>
      </c>
      <c r="B46" s="53">
        <v>340</v>
      </c>
      <c r="C46" s="53">
        <v>366</v>
      </c>
      <c r="D46" s="53">
        <v>386</v>
      </c>
      <c r="E46" s="53">
        <v>395</v>
      </c>
      <c r="F46" s="53">
        <v>405</v>
      </c>
      <c r="G46" s="53">
        <v>409</v>
      </c>
      <c r="H46" s="53">
        <v>410</v>
      </c>
      <c r="I46" s="53">
        <v>422</v>
      </c>
    </row>
    <row r="47" spans="1:9" ht="12.75">
      <c r="A47" s="45" t="s">
        <v>19</v>
      </c>
      <c r="B47" s="53">
        <v>213</v>
      </c>
      <c r="C47" s="53">
        <v>190</v>
      </c>
      <c r="D47" s="53">
        <v>189</v>
      </c>
      <c r="E47" s="53">
        <v>199</v>
      </c>
      <c r="F47" s="53">
        <v>211</v>
      </c>
      <c r="G47" s="53">
        <v>213</v>
      </c>
      <c r="H47" s="53">
        <v>210</v>
      </c>
      <c r="I47" s="53">
        <v>188</v>
      </c>
    </row>
    <row r="48" spans="1:9" s="56" customFormat="1" ht="12.75">
      <c r="A48" s="54" t="s">
        <v>4</v>
      </c>
      <c r="B48" s="55">
        <f aca="true" t="shared" si="7" ref="B48:I48">SUM(B46:B47)</f>
        <v>553</v>
      </c>
      <c r="C48" s="55">
        <f t="shared" si="7"/>
        <v>556</v>
      </c>
      <c r="D48" s="55">
        <f t="shared" si="7"/>
        <v>575</v>
      </c>
      <c r="E48" s="55">
        <f t="shared" si="7"/>
        <v>594</v>
      </c>
      <c r="F48" s="55">
        <f t="shared" si="7"/>
        <v>616</v>
      </c>
      <c r="G48" s="55">
        <f t="shared" si="7"/>
        <v>622</v>
      </c>
      <c r="H48" s="55">
        <f t="shared" si="7"/>
        <v>620</v>
      </c>
      <c r="I48" s="55">
        <f t="shared" si="7"/>
        <v>610</v>
      </c>
    </row>
    <row r="49" spans="1:9" ht="12.75">
      <c r="A49" s="45"/>
      <c r="B49" s="53"/>
      <c r="C49" s="53"/>
      <c r="D49" s="53"/>
      <c r="E49" s="53"/>
      <c r="F49" s="53"/>
      <c r="G49" s="53"/>
      <c r="H49" s="53"/>
      <c r="I49" s="53"/>
    </row>
    <row r="50" spans="1:9" ht="12.75">
      <c r="A50" s="1" t="s">
        <v>46</v>
      </c>
      <c r="B50" s="53"/>
      <c r="C50" s="53"/>
      <c r="D50" s="53"/>
      <c r="E50" s="53"/>
      <c r="F50" s="53"/>
      <c r="G50" s="53"/>
      <c r="H50" s="53"/>
      <c r="I50" s="53"/>
    </row>
    <row r="51" spans="1:9" ht="12.75">
      <c r="A51" s="45" t="s">
        <v>18</v>
      </c>
      <c r="B51" s="53">
        <v>28</v>
      </c>
      <c r="C51" s="53">
        <v>31</v>
      </c>
      <c r="D51" s="53">
        <v>34</v>
      </c>
      <c r="E51" s="53">
        <v>31</v>
      </c>
      <c r="F51" s="53">
        <v>28</v>
      </c>
      <c r="G51" s="53">
        <v>26</v>
      </c>
      <c r="H51" s="53">
        <v>27</v>
      </c>
      <c r="I51" s="53">
        <v>29</v>
      </c>
    </row>
    <row r="52" spans="1:9" ht="12.75">
      <c r="A52" s="45" t="s">
        <v>19</v>
      </c>
      <c r="B52" s="53">
        <v>14</v>
      </c>
      <c r="C52" s="53">
        <v>10</v>
      </c>
      <c r="D52" s="53">
        <v>9</v>
      </c>
      <c r="E52" s="53">
        <v>15</v>
      </c>
      <c r="F52" s="53">
        <v>14</v>
      </c>
      <c r="G52" s="53">
        <v>17</v>
      </c>
      <c r="H52" s="53">
        <v>15</v>
      </c>
      <c r="I52" s="53">
        <v>24</v>
      </c>
    </row>
    <row r="53" spans="1:9" s="56" customFormat="1" ht="12.75">
      <c r="A53" s="54" t="s">
        <v>4</v>
      </c>
      <c r="B53" s="55">
        <f aca="true" t="shared" si="8" ref="B53:I53">SUM(B51:B52)</f>
        <v>42</v>
      </c>
      <c r="C53" s="55">
        <f t="shared" si="8"/>
        <v>41</v>
      </c>
      <c r="D53" s="55">
        <f t="shared" si="8"/>
        <v>43</v>
      </c>
      <c r="E53" s="55">
        <f t="shared" si="8"/>
        <v>46</v>
      </c>
      <c r="F53" s="55">
        <f t="shared" si="8"/>
        <v>42</v>
      </c>
      <c r="G53" s="55">
        <f t="shared" si="8"/>
        <v>43</v>
      </c>
      <c r="H53" s="55">
        <f t="shared" si="8"/>
        <v>42</v>
      </c>
      <c r="I53" s="55">
        <f t="shared" si="8"/>
        <v>53</v>
      </c>
    </row>
    <row r="54" spans="1:9" ht="12.75">
      <c r="A54" s="45"/>
      <c r="B54" s="53"/>
      <c r="C54" s="53"/>
      <c r="D54" s="53"/>
      <c r="E54" s="53"/>
      <c r="F54" s="53"/>
      <c r="G54" s="53"/>
      <c r="H54" s="53"/>
      <c r="I54" s="53"/>
    </row>
    <row r="55" spans="1:9" ht="12.75">
      <c r="A55" s="43" t="s">
        <v>15</v>
      </c>
      <c r="B55" s="53"/>
      <c r="C55" s="53"/>
      <c r="D55" s="53"/>
      <c r="E55" s="53"/>
      <c r="F55" s="53"/>
      <c r="G55" s="53"/>
      <c r="H55" s="53"/>
      <c r="I55" s="53"/>
    </row>
    <row r="56" spans="1:9" ht="12.75">
      <c r="A56" s="45" t="s">
        <v>18</v>
      </c>
      <c r="B56" s="53">
        <v>145</v>
      </c>
      <c r="C56" s="53">
        <v>150</v>
      </c>
      <c r="D56" s="53">
        <v>152</v>
      </c>
      <c r="E56" s="53">
        <v>153</v>
      </c>
      <c r="F56" s="53">
        <v>150</v>
      </c>
      <c r="G56" s="53">
        <v>155</v>
      </c>
      <c r="H56" s="53">
        <v>152</v>
      </c>
      <c r="I56" s="53">
        <v>153</v>
      </c>
    </row>
    <row r="57" spans="1:9" ht="12.75">
      <c r="A57" s="45" t="s">
        <v>19</v>
      </c>
      <c r="B57" s="53">
        <v>59</v>
      </c>
      <c r="C57" s="53">
        <v>54</v>
      </c>
      <c r="D57" s="53">
        <v>51</v>
      </c>
      <c r="E57" s="53">
        <v>51</v>
      </c>
      <c r="F57" s="53">
        <v>62</v>
      </c>
      <c r="G57" s="53">
        <v>65</v>
      </c>
      <c r="H57" s="53">
        <v>71</v>
      </c>
      <c r="I57" s="53">
        <v>52</v>
      </c>
    </row>
    <row r="58" spans="1:9" s="56" customFormat="1" ht="12.75">
      <c r="A58" s="54" t="s">
        <v>4</v>
      </c>
      <c r="B58" s="55">
        <f aca="true" t="shared" si="9" ref="B58:I58">SUM(B56:B57)</f>
        <v>204</v>
      </c>
      <c r="C58" s="55">
        <f t="shared" si="9"/>
        <v>204</v>
      </c>
      <c r="D58" s="55">
        <f t="shared" si="9"/>
        <v>203</v>
      </c>
      <c r="E58" s="55">
        <f t="shared" si="9"/>
        <v>204</v>
      </c>
      <c r="F58" s="55">
        <f t="shared" si="9"/>
        <v>212</v>
      </c>
      <c r="G58" s="55">
        <f t="shared" si="9"/>
        <v>220</v>
      </c>
      <c r="H58" s="55">
        <f t="shared" si="9"/>
        <v>223</v>
      </c>
      <c r="I58" s="55">
        <f t="shared" si="9"/>
        <v>205</v>
      </c>
    </row>
    <row r="59" spans="1:9" ht="12.75">
      <c r="A59" s="54"/>
      <c r="B59" s="53"/>
      <c r="C59" s="53"/>
      <c r="D59" s="53"/>
      <c r="E59" s="53"/>
      <c r="F59" s="53"/>
      <c r="G59" s="53"/>
      <c r="H59" s="53"/>
      <c r="I59" s="53"/>
    </row>
    <row r="60" spans="1:9" ht="12.75">
      <c r="A60" s="43" t="s">
        <v>41</v>
      </c>
      <c r="B60" s="53"/>
      <c r="C60" s="53"/>
      <c r="D60" s="53"/>
      <c r="E60" s="53"/>
      <c r="F60" s="53"/>
      <c r="G60" s="53"/>
      <c r="H60" s="53"/>
      <c r="I60" s="53"/>
    </row>
    <row r="61" spans="1:9" ht="12.75">
      <c r="A61" s="45" t="s">
        <v>18</v>
      </c>
      <c r="B61" s="53">
        <v>3451</v>
      </c>
      <c r="C61" s="53">
        <v>3598</v>
      </c>
      <c r="D61" s="53">
        <v>3570</v>
      </c>
      <c r="E61" s="53">
        <v>3594</v>
      </c>
      <c r="F61" s="53">
        <v>3548</v>
      </c>
      <c r="G61" s="53">
        <v>3546</v>
      </c>
      <c r="H61" s="53">
        <v>3493</v>
      </c>
      <c r="I61" s="53">
        <v>3474</v>
      </c>
    </row>
    <row r="62" spans="1:9" ht="12.75">
      <c r="A62" s="45" t="s">
        <v>19</v>
      </c>
      <c r="B62" s="53">
        <v>1683</v>
      </c>
      <c r="C62" s="53">
        <v>1546</v>
      </c>
      <c r="D62" s="53">
        <v>1579</v>
      </c>
      <c r="E62" s="53">
        <v>1558</v>
      </c>
      <c r="F62" s="53">
        <v>1599</v>
      </c>
      <c r="G62" s="53">
        <v>1607</v>
      </c>
      <c r="H62" s="53">
        <v>1636</v>
      </c>
      <c r="I62" s="53">
        <v>1542</v>
      </c>
    </row>
    <row r="63" spans="1:9" s="56" customFormat="1" ht="12.75">
      <c r="A63" s="172" t="s">
        <v>4</v>
      </c>
      <c r="B63" s="173">
        <f aca="true" t="shared" si="10" ref="B63:I63">SUM(B61:B62)</f>
        <v>5134</v>
      </c>
      <c r="C63" s="173">
        <f t="shared" si="10"/>
        <v>5144</v>
      </c>
      <c r="D63" s="173">
        <f t="shared" si="10"/>
        <v>5149</v>
      </c>
      <c r="E63" s="173">
        <f t="shared" si="10"/>
        <v>5152</v>
      </c>
      <c r="F63" s="173">
        <f t="shared" si="10"/>
        <v>5147</v>
      </c>
      <c r="G63" s="173">
        <f t="shared" si="10"/>
        <v>5153</v>
      </c>
      <c r="H63" s="173">
        <f t="shared" si="10"/>
        <v>5129</v>
      </c>
      <c r="I63" s="173">
        <f t="shared" si="10"/>
        <v>5016</v>
      </c>
    </row>
    <row r="64" spans="1:9" ht="12.75">
      <c r="A64" s="171"/>
      <c r="B64" s="53"/>
      <c r="C64" s="53"/>
      <c r="D64" s="53"/>
      <c r="E64" s="53"/>
      <c r="F64" s="53"/>
      <c r="G64" s="53"/>
      <c r="H64" s="53"/>
      <c r="I64" s="53"/>
    </row>
    <row r="65" spans="1:9" s="27" customFormat="1" ht="7.5" customHeight="1">
      <c r="A65" s="209"/>
      <c r="B65" s="36"/>
      <c r="C65" s="36"/>
      <c r="D65" s="36"/>
      <c r="E65" s="36"/>
      <c r="F65" s="36"/>
      <c r="G65" s="36"/>
      <c r="H65" s="36"/>
      <c r="I65" s="36"/>
    </row>
    <row r="66" spans="1:9" s="27" customFormat="1" ht="12.75">
      <c r="A66" s="42" t="s">
        <v>82</v>
      </c>
      <c r="B66" s="36"/>
      <c r="C66" s="36"/>
      <c r="D66" s="36"/>
      <c r="E66" s="36"/>
      <c r="F66" s="36"/>
      <c r="G66" s="36"/>
      <c r="H66" s="36"/>
      <c r="I66" s="36"/>
    </row>
    <row r="67" spans="1:9" s="27" customFormat="1" ht="12.75">
      <c r="A67" s="28" t="s">
        <v>18</v>
      </c>
      <c r="B67" s="36">
        <f aca="true" t="shared" si="11" ref="B67:G68">SUM(B11,B16,B21,B26,B31,B36,B51,B56,B61,B46,B41)</f>
        <v>15361</v>
      </c>
      <c r="C67" s="36">
        <f t="shared" si="11"/>
        <v>16035</v>
      </c>
      <c r="D67" s="36">
        <f t="shared" si="11"/>
        <v>16126</v>
      </c>
      <c r="E67" s="36">
        <f t="shared" si="11"/>
        <v>16074</v>
      </c>
      <c r="F67" s="36">
        <f t="shared" si="11"/>
        <v>15954</v>
      </c>
      <c r="G67" s="36">
        <f t="shared" si="11"/>
        <v>15897</v>
      </c>
      <c r="H67" s="36">
        <f>SUM(H11,H16,H21,H26,H31,H36,H51,H56,H61,H46,H41)</f>
        <v>15769</v>
      </c>
      <c r="I67" s="36">
        <f>SUM(I11,I16,I21,I26,I31,I36,I51,I56,I61,I46,I41)</f>
        <v>15982</v>
      </c>
    </row>
    <row r="68" spans="1:9" s="27" customFormat="1" ht="12.75">
      <c r="A68" s="28" t="s">
        <v>19</v>
      </c>
      <c r="B68" s="36">
        <f t="shared" si="11"/>
        <v>7308</v>
      </c>
      <c r="C68" s="36">
        <f t="shared" si="11"/>
        <v>6634</v>
      </c>
      <c r="D68" s="36">
        <f t="shared" si="11"/>
        <v>6809</v>
      </c>
      <c r="E68" s="36">
        <f t="shared" si="11"/>
        <v>6767</v>
      </c>
      <c r="F68" s="36">
        <f t="shared" si="11"/>
        <v>7016</v>
      </c>
      <c r="G68" s="36">
        <f t="shared" si="11"/>
        <v>7081</v>
      </c>
      <c r="H68" s="36">
        <f>SUM(H12,H17,H22,H27,H32,H37,H52,H57,H62,H47,H42)</f>
        <v>7172</v>
      </c>
      <c r="I68" s="36">
        <f>SUM(I12,I17,I22,I27,I32,I37,I52,I57,I62,I47,I42)</f>
        <v>6839</v>
      </c>
    </row>
    <row r="69" spans="1:9" s="39" customFormat="1" ht="12.75">
      <c r="A69" s="37" t="s">
        <v>4</v>
      </c>
      <c r="B69" s="38">
        <f aca="true" t="shared" si="12" ref="B69:I69">SUM(B67:B68)</f>
        <v>22669</v>
      </c>
      <c r="C69" s="38">
        <f t="shared" si="12"/>
        <v>22669</v>
      </c>
      <c r="D69" s="38">
        <f t="shared" si="12"/>
        <v>22935</v>
      </c>
      <c r="E69" s="38">
        <f t="shared" si="12"/>
        <v>22841</v>
      </c>
      <c r="F69" s="38">
        <f t="shared" si="12"/>
        <v>22970</v>
      </c>
      <c r="G69" s="38">
        <f t="shared" si="12"/>
        <v>22978</v>
      </c>
      <c r="H69" s="38">
        <f t="shared" si="12"/>
        <v>22941</v>
      </c>
      <c r="I69" s="38">
        <f t="shared" si="12"/>
        <v>22821</v>
      </c>
    </row>
    <row r="71" ht="12.75">
      <c r="A71" s="213" t="s">
        <v>61</v>
      </c>
    </row>
    <row r="72" ht="12.75">
      <c r="A72" s="58" t="s">
        <v>21</v>
      </c>
    </row>
  </sheetData>
  <sheetProtection/>
  <mergeCells count="2">
    <mergeCell ref="A2:I2"/>
    <mergeCell ref="A4:I4"/>
  </mergeCells>
  <printOptions horizontalCentered="1"/>
  <pageMargins left="0.1968503937007874" right="0.1968503937007874" top="0.5905511811023623" bottom="0.3937007874015748" header="0.31496062992125984" footer="0.31496062992125984"/>
  <pageSetup fitToHeight="1" fitToWidth="1" horizontalDpi="1200" verticalDpi="1200" orientation="portrait" paperSize="9" scale="86"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tabColor theme="2"/>
  </sheetPr>
  <dimension ref="A1:L110"/>
  <sheetViews>
    <sheetView zoomScalePageLayoutView="0" workbookViewId="0" topLeftCell="A1">
      <selection activeCell="A92" sqref="A92"/>
    </sheetView>
  </sheetViews>
  <sheetFormatPr defaultColWidth="9.28125" defaultRowHeight="12.75"/>
  <cols>
    <col min="1" max="1" width="32.7109375" style="4" customWidth="1"/>
    <col min="2" max="10" width="10.421875" style="4" customWidth="1"/>
    <col min="11" max="16384" width="9.28125" style="4" customWidth="1"/>
  </cols>
  <sheetData>
    <row r="1" spans="1:10" ht="12.75">
      <c r="A1" s="1" t="s">
        <v>101</v>
      </c>
      <c r="B1" s="2"/>
      <c r="C1" s="2"/>
      <c r="D1" s="2"/>
      <c r="E1" s="2"/>
      <c r="F1" s="2"/>
      <c r="G1" s="2"/>
      <c r="H1" s="2"/>
      <c r="I1" s="2"/>
      <c r="J1" s="2"/>
    </row>
    <row r="2" spans="1:10" ht="12.75">
      <c r="A2" s="5" t="s">
        <v>22</v>
      </c>
      <c r="B2" s="7"/>
      <c r="C2" s="7"/>
      <c r="D2" s="7"/>
      <c r="E2" s="6"/>
      <c r="F2" s="6"/>
      <c r="G2" s="6"/>
      <c r="H2" s="6"/>
      <c r="I2" s="6"/>
      <c r="J2" s="6"/>
    </row>
    <row r="3" spans="1:10" ht="12.75">
      <c r="A3" s="5"/>
      <c r="B3" s="7"/>
      <c r="C3" s="7"/>
      <c r="D3" s="7"/>
      <c r="E3" s="6"/>
      <c r="F3" s="6"/>
      <c r="G3" s="6"/>
      <c r="H3" s="6"/>
      <c r="I3" s="6"/>
      <c r="J3" s="6"/>
    </row>
    <row r="4" spans="1:10" ht="12.75">
      <c r="A4" s="5" t="s">
        <v>104</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56" customFormat="1" ht="12.75">
      <c r="A7" s="64"/>
      <c r="B7" s="175" t="s">
        <v>5</v>
      </c>
      <c r="C7" s="176" t="s">
        <v>6</v>
      </c>
      <c r="D7" s="176" t="s">
        <v>4</v>
      </c>
      <c r="E7" s="175" t="s">
        <v>5</v>
      </c>
      <c r="F7" s="176" t="s">
        <v>6</v>
      </c>
      <c r="G7" s="176" t="s">
        <v>4</v>
      </c>
      <c r="H7" s="175" t="s">
        <v>5</v>
      </c>
      <c r="I7" s="176" t="s">
        <v>6</v>
      </c>
      <c r="J7" s="176"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42</v>
      </c>
      <c r="B10" s="11">
        <v>1175</v>
      </c>
      <c r="C10" s="12">
        <v>8383</v>
      </c>
      <c r="D10" s="12">
        <f>SUM(B10:C10)</f>
        <v>9558</v>
      </c>
      <c r="E10" s="11">
        <v>144</v>
      </c>
      <c r="F10" s="12">
        <v>1013</v>
      </c>
      <c r="G10" s="12">
        <f>SUM(E10:F10)</f>
        <v>1157</v>
      </c>
      <c r="H10" s="11">
        <f>SUM(B10,E10)</f>
        <v>1319</v>
      </c>
      <c r="I10" s="12">
        <f>SUM(C10,F10)</f>
        <v>9396</v>
      </c>
      <c r="J10" s="12">
        <f>SUM(H10:I10)</f>
        <v>10715</v>
      </c>
    </row>
    <row r="11" spans="1:10" ht="12.75">
      <c r="A11" s="2" t="s">
        <v>8</v>
      </c>
      <c r="B11" s="11">
        <v>4679</v>
      </c>
      <c r="C11" s="12">
        <v>31169</v>
      </c>
      <c r="D11" s="12">
        <f>SUM(B11:C11)</f>
        <v>35848</v>
      </c>
      <c r="E11" s="11">
        <v>363</v>
      </c>
      <c r="F11" s="12">
        <v>3576</v>
      </c>
      <c r="G11" s="12">
        <f>SUM(E11:F11)</f>
        <v>3939</v>
      </c>
      <c r="H11" s="11">
        <f aca="true" t="shared" si="0" ref="H11:I13">SUM(B11,E11)</f>
        <v>5042</v>
      </c>
      <c r="I11" s="12">
        <f t="shared" si="0"/>
        <v>34745</v>
      </c>
      <c r="J11" s="12">
        <f>SUM(H11:I11)</f>
        <v>39787</v>
      </c>
    </row>
    <row r="12" spans="1:10" ht="12.75">
      <c r="A12" s="2" t="s">
        <v>9</v>
      </c>
      <c r="B12" s="11">
        <v>3</v>
      </c>
      <c r="C12" s="12">
        <v>27</v>
      </c>
      <c r="D12" s="12">
        <f>SUM(B12:C12)</f>
        <v>30</v>
      </c>
      <c r="E12" s="13" t="s">
        <v>107</v>
      </c>
      <c r="F12" s="12">
        <v>4</v>
      </c>
      <c r="G12" s="12">
        <f>SUM(E12:F12)</f>
        <v>4</v>
      </c>
      <c r="H12" s="13">
        <f t="shared" si="0"/>
        <v>3</v>
      </c>
      <c r="I12" s="12">
        <f t="shared" si="0"/>
        <v>31</v>
      </c>
      <c r="J12" s="12">
        <f>SUM(H12:I12)</f>
        <v>34</v>
      </c>
    </row>
    <row r="13" spans="1:10" ht="12.75">
      <c r="A13" s="3" t="s">
        <v>10</v>
      </c>
      <c r="B13" s="11">
        <v>1863</v>
      </c>
      <c r="C13" s="12">
        <v>12151</v>
      </c>
      <c r="D13" s="12">
        <f>SUM(B13:C13)</f>
        <v>14014</v>
      </c>
      <c r="E13" s="11">
        <v>170</v>
      </c>
      <c r="F13" s="12">
        <v>1366</v>
      </c>
      <c r="G13" s="12">
        <f>SUM(E13:F13)</f>
        <v>1536</v>
      </c>
      <c r="H13" s="11">
        <f t="shared" si="0"/>
        <v>2033</v>
      </c>
      <c r="I13" s="12">
        <f t="shared" si="0"/>
        <v>13517</v>
      </c>
      <c r="J13" s="12">
        <f>SUM(H13:I13)</f>
        <v>15550</v>
      </c>
    </row>
    <row r="14" spans="1:10" s="17" customFormat="1" ht="12.75">
      <c r="A14" s="14" t="s">
        <v>4</v>
      </c>
      <c r="B14" s="15">
        <f>SUM(B10:B13)</f>
        <v>7720</v>
      </c>
      <c r="C14" s="16">
        <f aca="true" t="shared" si="1" ref="C14:J14">SUM(C10:C13)</f>
        <v>51730</v>
      </c>
      <c r="D14" s="16">
        <f t="shared" si="1"/>
        <v>59450</v>
      </c>
      <c r="E14" s="15">
        <f t="shared" si="1"/>
        <v>677</v>
      </c>
      <c r="F14" s="16">
        <f t="shared" si="1"/>
        <v>5959</v>
      </c>
      <c r="G14" s="16">
        <f t="shared" si="1"/>
        <v>6636</v>
      </c>
      <c r="H14" s="15">
        <f t="shared" si="1"/>
        <v>8397</v>
      </c>
      <c r="I14" s="16">
        <f t="shared" si="1"/>
        <v>57689</v>
      </c>
      <c r="J14" s="16">
        <f t="shared" si="1"/>
        <v>66086</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42</v>
      </c>
      <c r="B17" s="11">
        <v>255</v>
      </c>
      <c r="C17" s="12">
        <v>1409</v>
      </c>
      <c r="D17" s="12">
        <f>SUM(B17:C17)</f>
        <v>1664</v>
      </c>
      <c r="E17" s="11">
        <v>63</v>
      </c>
      <c r="F17" s="12">
        <v>766</v>
      </c>
      <c r="G17" s="12">
        <f>SUM(E17:F17)</f>
        <v>829</v>
      </c>
      <c r="H17" s="11">
        <f aca="true" t="shared" si="2" ref="H17:I20">SUM(B17,E17)</f>
        <v>318</v>
      </c>
      <c r="I17" s="12">
        <f t="shared" si="2"/>
        <v>2175</v>
      </c>
      <c r="J17" s="12">
        <f>SUM(H17:I17)</f>
        <v>2493</v>
      </c>
    </row>
    <row r="18" spans="1:10" ht="12.75">
      <c r="A18" s="2" t="s">
        <v>8</v>
      </c>
      <c r="B18" s="11">
        <v>677</v>
      </c>
      <c r="C18" s="12">
        <v>3557</v>
      </c>
      <c r="D18" s="12">
        <f>SUM(B18:C18)</f>
        <v>4234</v>
      </c>
      <c r="E18" s="11">
        <v>104</v>
      </c>
      <c r="F18" s="12">
        <v>1687</v>
      </c>
      <c r="G18" s="12">
        <f>SUM(E18:F18)</f>
        <v>1791</v>
      </c>
      <c r="H18" s="11">
        <f t="shared" si="2"/>
        <v>781</v>
      </c>
      <c r="I18" s="12">
        <f t="shared" si="2"/>
        <v>5244</v>
      </c>
      <c r="J18" s="12">
        <f>SUM(H18:I18)</f>
        <v>6025</v>
      </c>
    </row>
    <row r="19" spans="1:10" ht="12.75">
      <c r="A19" s="2" t="s">
        <v>9</v>
      </c>
      <c r="B19" s="13">
        <v>19</v>
      </c>
      <c r="C19" s="18">
        <v>108</v>
      </c>
      <c r="D19" s="18">
        <f>SUM(B19:C19)</f>
        <v>127</v>
      </c>
      <c r="E19" s="13">
        <v>3</v>
      </c>
      <c r="F19" s="18">
        <v>37</v>
      </c>
      <c r="G19" s="18">
        <f>SUM(E19:F19)</f>
        <v>40</v>
      </c>
      <c r="H19" s="13">
        <f t="shared" si="2"/>
        <v>22</v>
      </c>
      <c r="I19" s="18">
        <f t="shared" si="2"/>
        <v>145</v>
      </c>
      <c r="J19" s="18">
        <f>SUM(H19:I19)</f>
        <v>167</v>
      </c>
    </row>
    <row r="20" spans="1:10" ht="12.75">
      <c r="A20" s="2" t="s">
        <v>10</v>
      </c>
      <c r="B20" s="11">
        <v>125</v>
      </c>
      <c r="C20" s="12">
        <v>823</v>
      </c>
      <c r="D20" s="12">
        <f>SUM(B20:C20)</f>
        <v>948</v>
      </c>
      <c r="E20" s="11">
        <v>12</v>
      </c>
      <c r="F20" s="12">
        <v>372</v>
      </c>
      <c r="G20" s="12">
        <f>SUM(E20:F20)</f>
        <v>384</v>
      </c>
      <c r="H20" s="11">
        <f t="shared" si="2"/>
        <v>137</v>
      </c>
      <c r="I20" s="12">
        <f t="shared" si="2"/>
        <v>1195</v>
      </c>
      <c r="J20" s="12">
        <f>SUM(H20:I20)</f>
        <v>1332</v>
      </c>
    </row>
    <row r="21" spans="1:10" s="17" customFormat="1" ht="12.75">
      <c r="A21" s="19" t="s">
        <v>4</v>
      </c>
      <c r="B21" s="15">
        <f aca="true" t="shared" si="3" ref="B21:J21">SUM(B17:B20)</f>
        <v>1076</v>
      </c>
      <c r="C21" s="16">
        <f t="shared" si="3"/>
        <v>5897</v>
      </c>
      <c r="D21" s="16">
        <f t="shared" si="3"/>
        <v>6973</v>
      </c>
      <c r="E21" s="15">
        <f t="shared" si="3"/>
        <v>182</v>
      </c>
      <c r="F21" s="16">
        <f t="shared" si="3"/>
        <v>2862</v>
      </c>
      <c r="G21" s="16">
        <f t="shared" si="3"/>
        <v>3044</v>
      </c>
      <c r="H21" s="15">
        <f t="shared" si="3"/>
        <v>1258</v>
      </c>
      <c r="I21" s="16">
        <f t="shared" si="3"/>
        <v>8759</v>
      </c>
      <c r="J21" s="16">
        <f t="shared" si="3"/>
        <v>10017</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42</v>
      </c>
      <c r="B24" s="11">
        <f>4827-B38</f>
        <v>4788</v>
      </c>
      <c r="C24" s="12">
        <f>7934-C38</f>
        <v>7736</v>
      </c>
      <c r="D24" s="12">
        <f>SUM(B24:C24)</f>
        <v>12524</v>
      </c>
      <c r="E24" s="11">
        <f>389-E38</f>
        <v>387</v>
      </c>
      <c r="F24" s="12">
        <f>1233-F38</f>
        <v>1206</v>
      </c>
      <c r="G24" s="12">
        <f>SUM(E24:F24)</f>
        <v>1593</v>
      </c>
      <c r="H24" s="11">
        <f aca="true" t="shared" si="4" ref="H24:I27">SUM(B24,E24)</f>
        <v>5175</v>
      </c>
      <c r="I24" s="12">
        <f t="shared" si="4"/>
        <v>8942</v>
      </c>
      <c r="J24" s="12">
        <f>SUM(H24:I24)</f>
        <v>14117</v>
      </c>
    </row>
    <row r="25" spans="1:10" ht="12.75">
      <c r="A25" s="2" t="s">
        <v>8</v>
      </c>
      <c r="B25" s="11">
        <f>15279-B39</f>
        <v>15121</v>
      </c>
      <c r="C25" s="12">
        <f>27659-C39</f>
        <v>26713</v>
      </c>
      <c r="D25" s="12">
        <f>SUM(B25:C25)</f>
        <v>41834</v>
      </c>
      <c r="E25" s="11">
        <f>1263-E39</f>
        <v>1247</v>
      </c>
      <c r="F25" s="12">
        <f>3481-F39</f>
        <v>3391</v>
      </c>
      <c r="G25" s="12">
        <f>SUM(E25:F25)</f>
        <v>4638</v>
      </c>
      <c r="H25" s="11">
        <f t="shared" si="4"/>
        <v>16368</v>
      </c>
      <c r="I25" s="12">
        <f t="shared" si="4"/>
        <v>30104</v>
      </c>
      <c r="J25" s="12">
        <f>SUM(H25:I25)</f>
        <v>46472</v>
      </c>
    </row>
    <row r="26" spans="1:10" ht="12.75">
      <c r="A26" s="2" t="s">
        <v>9</v>
      </c>
      <c r="B26" s="11">
        <f>1145-B40</f>
        <v>1120</v>
      </c>
      <c r="C26" s="12">
        <f>1284-C40</f>
        <v>1205</v>
      </c>
      <c r="D26" s="12">
        <f>SUM(B26:C26)</f>
        <v>2325</v>
      </c>
      <c r="E26" s="11">
        <f>74-E40</f>
        <v>71</v>
      </c>
      <c r="F26" s="12">
        <f>170-F40</f>
        <v>169</v>
      </c>
      <c r="G26" s="12">
        <f>SUM(E26:F26)</f>
        <v>240</v>
      </c>
      <c r="H26" s="11">
        <f t="shared" si="4"/>
        <v>1191</v>
      </c>
      <c r="I26" s="12">
        <f t="shared" si="4"/>
        <v>1374</v>
      </c>
      <c r="J26" s="12">
        <f>SUM(H26:I26)</f>
        <v>2565</v>
      </c>
    </row>
    <row r="27" spans="1:10" ht="12.75">
      <c r="A27" s="3" t="s">
        <v>10</v>
      </c>
      <c r="B27" s="11">
        <f>1379-B41</f>
        <v>1371</v>
      </c>
      <c r="C27" s="12">
        <f>1762-C41</f>
        <v>1740</v>
      </c>
      <c r="D27" s="12">
        <f>SUM(B27:C27)</f>
        <v>3111</v>
      </c>
      <c r="E27" s="11">
        <f>85-E41</f>
        <v>85</v>
      </c>
      <c r="F27" s="12">
        <f>267-F41</f>
        <v>267</v>
      </c>
      <c r="G27" s="12">
        <f>SUM(E27:F27)</f>
        <v>352</v>
      </c>
      <c r="H27" s="11">
        <f t="shared" si="4"/>
        <v>1456</v>
      </c>
      <c r="I27" s="12">
        <f t="shared" si="4"/>
        <v>2007</v>
      </c>
      <c r="J27" s="12">
        <f>SUM(H27:I27)</f>
        <v>3463</v>
      </c>
    </row>
    <row r="28" spans="1:10" s="17" customFormat="1" ht="12.75">
      <c r="A28" s="14" t="s">
        <v>4</v>
      </c>
      <c r="B28" s="15">
        <f aca="true" t="shared" si="5" ref="B28:J28">SUM(B24:B27)</f>
        <v>22400</v>
      </c>
      <c r="C28" s="16">
        <f t="shared" si="5"/>
        <v>37394</v>
      </c>
      <c r="D28" s="16">
        <f t="shared" si="5"/>
        <v>59794</v>
      </c>
      <c r="E28" s="15">
        <f t="shared" si="5"/>
        <v>1790</v>
      </c>
      <c r="F28" s="16">
        <f t="shared" si="5"/>
        <v>5033</v>
      </c>
      <c r="G28" s="16">
        <f t="shared" si="5"/>
        <v>6823</v>
      </c>
      <c r="H28" s="15">
        <f t="shared" si="5"/>
        <v>24190</v>
      </c>
      <c r="I28" s="16">
        <f t="shared" si="5"/>
        <v>42427</v>
      </c>
      <c r="J28" s="16">
        <f t="shared" si="5"/>
        <v>66617</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42</v>
      </c>
      <c r="B31" s="11">
        <v>656</v>
      </c>
      <c r="C31" s="12">
        <v>1317</v>
      </c>
      <c r="D31" s="12">
        <f>SUM(B31:C31)</f>
        <v>1973</v>
      </c>
      <c r="E31" s="11">
        <v>57</v>
      </c>
      <c r="F31" s="12">
        <v>397</v>
      </c>
      <c r="G31" s="12">
        <f>SUM(E31:F31)</f>
        <v>454</v>
      </c>
      <c r="H31" s="11">
        <f aca="true" t="shared" si="6" ref="H31:I34">SUM(B31,E31)</f>
        <v>713</v>
      </c>
      <c r="I31" s="12">
        <f t="shared" si="6"/>
        <v>1714</v>
      </c>
      <c r="J31" s="12">
        <f>SUM(H31:I31)</f>
        <v>2427</v>
      </c>
    </row>
    <row r="32" spans="1:10" ht="12.75">
      <c r="A32" s="2" t="s">
        <v>8</v>
      </c>
      <c r="B32" s="11">
        <v>1550</v>
      </c>
      <c r="C32" s="12">
        <v>3256</v>
      </c>
      <c r="D32" s="12">
        <f>SUM(B32:C32)</f>
        <v>4806</v>
      </c>
      <c r="E32" s="11">
        <v>151</v>
      </c>
      <c r="F32" s="12">
        <v>843</v>
      </c>
      <c r="G32" s="12">
        <f>SUM(E32:F32)</f>
        <v>994</v>
      </c>
      <c r="H32" s="11">
        <f t="shared" si="6"/>
        <v>1701</v>
      </c>
      <c r="I32" s="12">
        <f t="shared" si="6"/>
        <v>4099</v>
      </c>
      <c r="J32" s="12">
        <f>SUM(H32:I32)</f>
        <v>5800</v>
      </c>
    </row>
    <row r="33" spans="1:10" ht="12.75">
      <c r="A33" s="2" t="s">
        <v>9</v>
      </c>
      <c r="B33" s="11">
        <v>56</v>
      </c>
      <c r="C33" s="12">
        <v>71</v>
      </c>
      <c r="D33" s="12">
        <f>SUM(B33:C33)</f>
        <v>127</v>
      </c>
      <c r="E33" s="13">
        <v>3</v>
      </c>
      <c r="F33" s="12">
        <v>18</v>
      </c>
      <c r="G33" s="12">
        <f>SUM(E33:F33)</f>
        <v>21</v>
      </c>
      <c r="H33" s="13">
        <f t="shared" si="6"/>
        <v>59</v>
      </c>
      <c r="I33" s="12">
        <f t="shared" si="6"/>
        <v>89</v>
      </c>
      <c r="J33" s="12">
        <f>SUM(H33:I33)</f>
        <v>148</v>
      </c>
    </row>
    <row r="34" spans="1:10" ht="12.75">
      <c r="A34" s="2" t="s">
        <v>10</v>
      </c>
      <c r="B34" s="11">
        <v>302</v>
      </c>
      <c r="C34" s="12">
        <v>586</v>
      </c>
      <c r="D34" s="12">
        <f>SUM(B34:C34)</f>
        <v>888</v>
      </c>
      <c r="E34" s="11">
        <v>24</v>
      </c>
      <c r="F34" s="12">
        <v>117</v>
      </c>
      <c r="G34" s="12">
        <f>SUM(E34:F34)</f>
        <v>141</v>
      </c>
      <c r="H34" s="11">
        <f t="shared" si="6"/>
        <v>326</v>
      </c>
      <c r="I34" s="12">
        <f t="shared" si="6"/>
        <v>703</v>
      </c>
      <c r="J34" s="12">
        <f>SUM(H34:I34)</f>
        <v>1029</v>
      </c>
    </row>
    <row r="35" spans="1:10" s="17" customFormat="1" ht="12.75">
      <c r="A35" s="19" t="s">
        <v>4</v>
      </c>
      <c r="B35" s="15">
        <f aca="true" t="shared" si="7" ref="B35:J35">SUM(B31:B34)</f>
        <v>2564</v>
      </c>
      <c r="C35" s="16">
        <f t="shared" si="7"/>
        <v>5230</v>
      </c>
      <c r="D35" s="16">
        <f t="shared" si="7"/>
        <v>7794</v>
      </c>
      <c r="E35" s="15">
        <f t="shared" si="7"/>
        <v>235</v>
      </c>
      <c r="F35" s="16">
        <f t="shared" si="7"/>
        <v>1375</v>
      </c>
      <c r="G35" s="16">
        <f t="shared" si="7"/>
        <v>1610</v>
      </c>
      <c r="H35" s="15">
        <f t="shared" si="7"/>
        <v>2799</v>
      </c>
      <c r="I35" s="16">
        <f t="shared" si="7"/>
        <v>6605</v>
      </c>
      <c r="J35" s="16">
        <f t="shared" si="7"/>
        <v>9404</v>
      </c>
    </row>
    <row r="36" spans="1:10" s="17" customFormat="1" ht="12.75">
      <c r="A36" s="19"/>
      <c r="B36" s="20"/>
      <c r="C36" s="21"/>
      <c r="D36" s="21"/>
      <c r="E36" s="20"/>
      <c r="F36" s="21"/>
      <c r="G36" s="21"/>
      <c r="H36" s="20"/>
      <c r="I36" s="21"/>
      <c r="J36" s="21"/>
    </row>
    <row r="37" spans="1:10" s="17" customFormat="1" ht="12.75">
      <c r="A37" s="1" t="s">
        <v>120</v>
      </c>
      <c r="B37" s="20"/>
      <c r="C37" s="21"/>
      <c r="D37" s="21"/>
      <c r="E37" s="20"/>
      <c r="F37" s="21"/>
      <c r="G37" s="21"/>
      <c r="H37" s="20"/>
      <c r="I37" s="21"/>
      <c r="J37" s="21"/>
    </row>
    <row r="38" spans="1:10" s="17" customFormat="1" ht="12.75">
      <c r="A38" s="2" t="s">
        <v>42</v>
      </c>
      <c r="B38" s="13">
        <v>39</v>
      </c>
      <c r="C38" s="68">
        <v>198</v>
      </c>
      <c r="D38" s="68">
        <f>SUM(B38:C38)</f>
        <v>237</v>
      </c>
      <c r="E38" s="13">
        <v>2</v>
      </c>
      <c r="F38" s="68">
        <v>27</v>
      </c>
      <c r="G38" s="68">
        <f>SUM(E38:F38)</f>
        <v>29</v>
      </c>
      <c r="H38" s="13">
        <f aca="true" t="shared" si="8" ref="H38:I41">SUM(B38,E38)</f>
        <v>41</v>
      </c>
      <c r="I38" s="68">
        <f t="shared" si="8"/>
        <v>225</v>
      </c>
      <c r="J38" s="68">
        <f>SUM(H38:I38)</f>
        <v>266</v>
      </c>
    </row>
    <row r="39" spans="1:10" s="17" customFormat="1" ht="12.75">
      <c r="A39" s="2" t="s">
        <v>8</v>
      </c>
      <c r="B39" s="13">
        <v>158</v>
      </c>
      <c r="C39" s="68">
        <v>946</v>
      </c>
      <c r="D39" s="68">
        <f>SUM(B39:C39)</f>
        <v>1104</v>
      </c>
      <c r="E39" s="13">
        <v>16</v>
      </c>
      <c r="F39" s="68">
        <v>90</v>
      </c>
      <c r="G39" s="68">
        <f>SUM(E39:F39)</f>
        <v>106</v>
      </c>
      <c r="H39" s="13">
        <f t="shared" si="8"/>
        <v>174</v>
      </c>
      <c r="I39" s="68">
        <f t="shared" si="8"/>
        <v>1036</v>
      </c>
      <c r="J39" s="68">
        <f>SUM(H39:I39)</f>
        <v>1210</v>
      </c>
    </row>
    <row r="40" spans="1:10" s="17" customFormat="1" ht="12.75">
      <c r="A40" s="2" t="s">
        <v>9</v>
      </c>
      <c r="B40" s="13">
        <v>25</v>
      </c>
      <c r="C40" s="68">
        <v>79</v>
      </c>
      <c r="D40" s="68">
        <f>SUM(B40:C40)</f>
        <v>104</v>
      </c>
      <c r="E40" s="13">
        <v>3</v>
      </c>
      <c r="F40" s="68">
        <v>1</v>
      </c>
      <c r="G40" s="68">
        <f>SUM(E40:F40)</f>
        <v>4</v>
      </c>
      <c r="H40" s="13">
        <f t="shared" si="8"/>
        <v>28</v>
      </c>
      <c r="I40" s="68">
        <f t="shared" si="8"/>
        <v>80</v>
      </c>
      <c r="J40" s="68">
        <f>SUM(H40:I40)</f>
        <v>108</v>
      </c>
    </row>
    <row r="41" spans="1:10" s="17" customFormat="1" ht="12.75">
      <c r="A41" s="2" t="s">
        <v>10</v>
      </c>
      <c r="B41" s="13">
        <v>8</v>
      </c>
      <c r="C41" s="68">
        <v>22</v>
      </c>
      <c r="D41" s="68">
        <f>SUM(B41:C41)</f>
        <v>30</v>
      </c>
      <c r="E41" s="13">
        <v>0</v>
      </c>
      <c r="F41" s="68">
        <v>0</v>
      </c>
      <c r="G41" s="68">
        <f>SUM(E41:F41)</f>
        <v>0</v>
      </c>
      <c r="H41" s="13">
        <f t="shared" si="8"/>
        <v>8</v>
      </c>
      <c r="I41" s="68">
        <f t="shared" si="8"/>
        <v>22</v>
      </c>
      <c r="J41" s="68">
        <f>SUM(H41:I41)</f>
        <v>30</v>
      </c>
    </row>
    <row r="42" spans="1:10" s="17" customFormat="1" ht="12.75">
      <c r="A42" s="19" t="s">
        <v>4</v>
      </c>
      <c r="B42" s="15">
        <f aca="true" t="shared" si="9" ref="B42:J42">SUM(B38:B41)</f>
        <v>230</v>
      </c>
      <c r="C42" s="16">
        <f t="shared" si="9"/>
        <v>1245</v>
      </c>
      <c r="D42" s="208">
        <f t="shared" si="9"/>
        <v>1475</v>
      </c>
      <c r="E42" s="15">
        <f t="shared" si="9"/>
        <v>21</v>
      </c>
      <c r="F42" s="16">
        <f t="shared" si="9"/>
        <v>118</v>
      </c>
      <c r="G42" s="208">
        <f t="shared" si="9"/>
        <v>139</v>
      </c>
      <c r="H42" s="15">
        <f t="shared" si="9"/>
        <v>251</v>
      </c>
      <c r="I42" s="16">
        <f t="shared" si="9"/>
        <v>1363</v>
      </c>
      <c r="J42" s="16">
        <f t="shared" si="9"/>
        <v>1614</v>
      </c>
    </row>
    <row r="43" spans="1:10" ht="12.75">
      <c r="A43" s="2"/>
      <c r="B43" s="11"/>
      <c r="C43" s="12"/>
      <c r="D43" s="12"/>
      <c r="E43" s="11"/>
      <c r="F43" s="12"/>
      <c r="G43" s="12"/>
      <c r="H43" s="11"/>
      <c r="I43" s="12"/>
      <c r="J43" s="12"/>
    </row>
    <row r="44" spans="1:10" ht="12.75">
      <c r="A44" s="1" t="s">
        <v>14</v>
      </c>
      <c r="B44" s="165"/>
      <c r="C44" s="166"/>
      <c r="D44" s="167"/>
      <c r="E44" s="165"/>
      <c r="F44" s="166"/>
      <c r="G44" s="167"/>
      <c r="H44" s="11"/>
      <c r="I44" s="12"/>
      <c r="J44" s="12"/>
    </row>
    <row r="45" spans="1:10" s="17" customFormat="1" ht="12.75">
      <c r="A45" s="19" t="s">
        <v>4</v>
      </c>
      <c r="B45" s="165">
        <v>3730</v>
      </c>
      <c r="C45" s="166">
        <v>4854</v>
      </c>
      <c r="D45" s="167">
        <f>SUM(B45:C45)</f>
        <v>8584</v>
      </c>
      <c r="E45" s="168">
        <v>775</v>
      </c>
      <c r="F45" s="167">
        <v>1651</v>
      </c>
      <c r="G45" s="167">
        <f>SUM(E45:F45)</f>
        <v>2426</v>
      </c>
      <c r="H45" s="20">
        <f>SUM(B45,E45)</f>
        <v>4505</v>
      </c>
      <c r="I45" s="21">
        <f>SUM(C45,F45)</f>
        <v>6505</v>
      </c>
      <c r="J45" s="21">
        <f>SUM(H45:I45)</f>
        <v>11010</v>
      </c>
    </row>
    <row r="46" spans="1:10" ht="12.75">
      <c r="A46" s="2"/>
      <c r="B46" s="11"/>
      <c r="C46" s="12"/>
      <c r="D46" s="12"/>
      <c r="E46" s="11"/>
      <c r="F46" s="12"/>
      <c r="G46" s="12"/>
      <c r="H46" s="11"/>
      <c r="I46" s="12"/>
      <c r="J46" s="12"/>
    </row>
    <row r="47" spans="1:10" s="17" customFormat="1" ht="12.75">
      <c r="A47" s="200" t="s">
        <v>48</v>
      </c>
      <c r="B47" s="20"/>
      <c r="C47" s="21"/>
      <c r="D47" s="21"/>
      <c r="E47" s="20"/>
      <c r="F47" s="21"/>
      <c r="G47" s="21"/>
      <c r="H47" s="20"/>
      <c r="I47" s="21"/>
      <c r="J47" s="21"/>
    </row>
    <row r="48" spans="1:10" s="17" customFormat="1" ht="12.75">
      <c r="A48" s="19" t="s">
        <v>4</v>
      </c>
      <c r="B48" s="20">
        <v>187</v>
      </c>
      <c r="C48" s="21">
        <v>1045</v>
      </c>
      <c r="D48" s="21">
        <f>SUM(B48:C48)</f>
        <v>1232</v>
      </c>
      <c r="E48" s="20">
        <v>13</v>
      </c>
      <c r="F48" s="21">
        <v>115</v>
      </c>
      <c r="G48" s="21">
        <f>SUM(E48:F48)</f>
        <v>128</v>
      </c>
      <c r="H48" s="20">
        <f>B48+E48</f>
        <v>200</v>
      </c>
      <c r="I48" s="21">
        <f>C48+F48</f>
        <v>1160</v>
      </c>
      <c r="J48" s="21">
        <f>H48+I48</f>
        <v>1360</v>
      </c>
    </row>
    <row r="49" spans="1:10" ht="12.75">
      <c r="A49" s="2"/>
      <c r="B49" s="11"/>
      <c r="C49" s="12"/>
      <c r="D49" s="12"/>
      <c r="E49" s="11"/>
      <c r="F49" s="12"/>
      <c r="G49" s="12"/>
      <c r="H49" s="11"/>
      <c r="I49" s="12"/>
      <c r="J49" s="12"/>
    </row>
    <row r="50" spans="1:10" ht="12.75">
      <c r="A50" s="1" t="s">
        <v>45</v>
      </c>
      <c r="B50" s="11"/>
      <c r="C50" s="12"/>
      <c r="D50" s="12"/>
      <c r="E50" s="11"/>
      <c r="F50" s="12"/>
      <c r="G50" s="12"/>
      <c r="H50" s="11"/>
      <c r="I50" s="12"/>
      <c r="J50" s="12"/>
    </row>
    <row r="51" spans="1:10" ht="12.75">
      <c r="A51" s="2" t="s">
        <v>42</v>
      </c>
      <c r="B51" s="11">
        <v>715</v>
      </c>
      <c r="C51" s="12">
        <v>1379</v>
      </c>
      <c r="D51" s="12">
        <f>SUM(B51:C51)</f>
        <v>2094</v>
      </c>
      <c r="E51" s="11">
        <v>37</v>
      </c>
      <c r="F51" s="12">
        <v>203</v>
      </c>
      <c r="G51" s="12">
        <f>SUM(E51:F51)</f>
        <v>240</v>
      </c>
      <c r="H51" s="11">
        <f aca="true" t="shared" si="10" ref="H51:I54">SUM(B51,E51)</f>
        <v>752</v>
      </c>
      <c r="I51" s="12">
        <f t="shared" si="10"/>
        <v>1582</v>
      </c>
      <c r="J51" s="12">
        <f>SUM(H51:I51)</f>
        <v>2334</v>
      </c>
    </row>
    <row r="52" spans="1:10" ht="12.75">
      <c r="A52" s="2" t="s">
        <v>8</v>
      </c>
      <c r="B52" s="11">
        <v>781</v>
      </c>
      <c r="C52" s="12">
        <v>1680</v>
      </c>
      <c r="D52" s="12">
        <f>SUM(B52:C52)</f>
        <v>2461</v>
      </c>
      <c r="E52" s="11">
        <v>45</v>
      </c>
      <c r="F52" s="12">
        <v>226</v>
      </c>
      <c r="G52" s="12">
        <f>SUM(E52:F52)</f>
        <v>271</v>
      </c>
      <c r="H52" s="11">
        <f t="shared" si="10"/>
        <v>826</v>
      </c>
      <c r="I52" s="12">
        <f t="shared" si="10"/>
        <v>1906</v>
      </c>
      <c r="J52" s="12">
        <f>SUM(H52:I52)</f>
        <v>2732</v>
      </c>
    </row>
    <row r="53" spans="1:10" ht="12.75">
      <c r="A53" s="2" t="s">
        <v>9</v>
      </c>
      <c r="B53" s="11">
        <v>261</v>
      </c>
      <c r="C53" s="12">
        <v>450</v>
      </c>
      <c r="D53" s="12">
        <f>SUM(B53:C53)</f>
        <v>711</v>
      </c>
      <c r="E53" s="11">
        <v>14</v>
      </c>
      <c r="F53" s="12">
        <v>66</v>
      </c>
      <c r="G53" s="12">
        <f>SUM(E53:F53)</f>
        <v>80</v>
      </c>
      <c r="H53" s="11">
        <f t="shared" si="10"/>
        <v>275</v>
      </c>
      <c r="I53" s="12">
        <f t="shared" si="10"/>
        <v>516</v>
      </c>
      <c r="J53" s="12">
        <f>SUM(H53:I53)</f>
        <v>791</v>
      </c>
    </row>
    <row r="54" spans="1:10" ht="12.75">
      <c r="A54" s="2" t="s">
        <v>10</v>
      </c>
      <c r="B54" s="11">
        <v>269</v>
      </c>
      <c r="C54" s="12">
        <v>611</v>
      </c>
      <c r="D54" s="12">
        <f>SUM(B54:C54)</f>
        <v>880</v>
      </c>
      <c r="E54" s="11">
        <v>17</v>
      </c>
      <c r="F54" s="12">
        <v>76</v>
      </c>
      <c r="G54" s="12">
        <f>SUM(E54:F54)</f>
        <v>93</v>
      </c>
      <c r="H54" s="11">
        <f t="shared" si="10"/>
        <v>286</v>
      </c>
      <c r="I54" s="12">
        <f t="shared" si="10"/>
        <v>687</v>
      </c>
      <c r="J54" s="12">
        <f>SUM(H54:I54)</f>
        <v>973</v>
      </c>
    </row>
    <row r="55" spans="1:10" s="17" customFormat="1" ht="12.75">
      <c r="A55" s="19" t="s">
        <v>4</v>
      </c>
      <c r="B55" s="15">
        <f aca="true" t="shared" si="11" ref="B55:J55">SUM(B51:B54)</f>
        <v>2026</v>
      </c>
      <c r="C55" s="16">
        <f t="shared" si="11"/>
        <v>4120</v>
      </c>
      <c r="D55" s="16">
        <f t="shared" si="11"/>
        <v>6146</v>
      </c>
      <c r="E55" s="15">
        <f t="shared" si="11"/>
        <v>113</v>
      </c>
      <c r="F55" s="16">
        <f t="shared" si="11"/>
        <v>571</v>
      </c>
      <c r="G55" s="16">
        <f t="shared" si="11"/>
        <v>684</v>
      </c>
      <c r="H55" s="15">
        <f t="shared" si="11"/>
        <v>2139</v>
      </c>
      <c r="I55" s="16">
        <f t="shared" si="11"/>
        <v>4691</v>
      </c>
      <c r="J55" s="16">
        <f t="shared" si="11"/>
        <v>6830</v>
      </c>
    </row>
    <row r="56" spans="1:10" ht="12.75">
      <c r="A56" s="2"/>
      <c r="B56" s="11"/>
      <c r="C56" s="12"/>
      <c r="D56" s="12"/>
      <c r="E56" s="11"/>
      <c r="F56" s="12"/>
      <c r="G56" s="12"/>
      <c r="H56" s="11"/>
      <c r="I56" s="12"/>
      <c r="J56" s="12"/>
    </row>
    <row r="57" spans="1:10" ht="12.75">
      <c r="A57" s="1" t="s">
        <v>46</v>
      </c>
      <c r="B57" s="11"/>
      <c r="C57" s="12"/>
      <c r="D57" s="12"/>
      <c r="E57" s="11"/>
      <c r="F57" s="12"/>
      <c r="G57" s="12"/>
      <c r="H57" s="11"/>
      <c r="I57" s="12"/>
      <c r="J57" s="12"/>
    </row>
    <row r="58" spans="1:10" ht="12.75">
      <c r="A58" s="2" t="s">
        <v>42</v>
      </c>
      <c r="B58" s="11">
        <v>177</v>
      </c>
      <c r="C58" s="12">
        <v>168</v>
      </c>
      <c r="D58" s="12">
        <f>SUM(B58:C58)</f>
        <v>345</v>
      </c>
      <c r="E58" s="11">
        <v>2</v>
      </c>
      <c r="F58" s="12">
        <v>19</v>
      </c>
      <c r="G58" s="12">
        <f>SUM(E58:F58)</f>
        <v>21</v>
      </c>
      <c r="H58" s="11">
        <f aca="true" t="shared" si="12" ref="H58:I61">SUM(B58,E58)</f>
        <v>179</v>
      </c>
      <c r="I58" s="12">
        <f t="shared" si="12"/>
        <v>187</v>
      </c>
      <c r="J58" s="12">
        <f>SUM(H58:I58)</f>
        <v>366</v>
      </c>
    </row>
    <row r="59" spans="1:10" ht="12.75">
      <c r="A59" s="2" t="s">
        <v>8</v>
      </c>
      <c r="B59" s="11">
        <v>320</v>
      </c>
      <c r="C59" s="12">
        <v>291</v>
      </c>
      <c r="D59" s="12">
        <f>SUM(B59:C59)</f>
        <v>611</v>
      </c>
      <c r="E59" s="11">
        <v>1</v>
      </c>
      <c r="F59" s="12">
        <v>19</v>
      </c>
      <c r="G59" s="12">
        <f>SUM(E59:F59)</f>
        <v>20</v>
      </c>
      <c r="H59" s="11">
        <f t="shared" si="12"/>
        <v>321</v>
      </c>
      <c r="I59" s="12">
        <f t="shared" si="12"/>
        <v>310</v>
      </c>
      <c r="J59" s="12">
        <f>SUM(H59:I59)</f>
        <v>631</v>
      </c>
    </row>
    <row r="60" spans="1:10" ht="12.75">
      <c r="A60" s="2" t="s">
        <v>9</v>
      </c>
      <c r="B60" s="11">
        <v>60</v>
      </c>
      <c r="C60" s="12">
        <v>51</v>
      </c>
      <c r="D60" s="12">
        <f>SUM(B60:C60)</f>
        <v>111</v>
      </c>
      <c r="E60" s="11">
        <v>1</v>
      </c>
      <c r="F60" s="12">
        <v>5</v>
      </c>
      <c r="G60" s="12">
        <f>SUM(E60:F60)</f>
        <v>6</v>
      </c>
      <c r="H60" s="11">
        <f t="shared" si="12"/>
        <v>61</v>
      </c>
      <c r="I60" s="12">
        <f t="shared" si="12"/>
        <v>56</v>
      </c>
      <c r="J60" s="12">
        <f>SUM(H60:I60)</f>
        <v>117</v>
      </c>
    </row>
    <row r="61" spans="1:10" ht="12.75">
      <c r="A61" s="2" t="s">
        <v>10</v>
      </c>
      <c r="B61" s="11">
        <v>39</v>
      </c>
      <c r="C61" s="12">
        <v>38</v>
      </c>
      <c r="D61" s="12">
        <f>SUM(B61:C61)</f>
        <v>77</v>
      </c>
      <c r="E61" s="11">
        <v>1</v>
      </c>
      <c r="F61" s="12">
        <v>14</v>
      </c>
      <c r="G61" s="12">
        <f>SUM(E61:F61)</f>
        <v>15</v>
      </c>
      <c r="H61" s="11">
        <f t="shared" si="12"/>
        <v>40</v>
      </c>
      <c r="I61" s="12">
        <f t="shared" si="12"/>
        <v>52</v>
      </c>
      <c r="J61" s="12">
        <f>SUM(H61:I61)</f>
        <v>92</v>
      </c>
    </row>
    <row r="62" spans="1:10" s="17" customFormat="1" ht="12.75">
      <c r="A62" s="19" t="s">
        <v>4</v>
      </c>
      <c r="B62" s="15">
        <f aca="true" t="shared" si="13" ref="B62:J62">SUM(B58:B61)</f>
        <v>596</v>
      </c>
      <c r="C62" s="16">
        <f t="shared" si="13"/>
        <v>548</v>
      </c>
      <c r="D62" s="16">
        <f t="shared" si="13"/>
        <v>1144</v>
      </c>
      <c r="E62" s="15">
        <f t="shared" si="13"/>
        <v>5</v>
      </c>
      <c r="F62" s="16">
        <f t="shared" si="13"/>
        <v>57</v>
      </c>
      <c r="G62" s="16">
        <f t="shared" si="13"/>
        <v>62</v>
      </c>
      <c r="H62" s="15">
        <f t="shared" si="13"/>
        <v>601</v>
      </c>
      <c r="I62" s="16">
        <f t="shared" si="13"/>
        <v>605</v>
      </c>
      <c r="J62" s="16">
        <f t="shared" si="13"/>
        <v>1206</v>
      </c>
    </row>
    <row r="63" spans="1:10" s="17" customFormat="1" ht="12.75">
      <c r="A63" s="19"/>
      <c r="B63" s="20"/>
      <c r="C63" s="21"/>
      <c r="D63" s="21"/>
      <c r="E63" s="20"/>
      <c r="F63" s="21"/>
      <c r="G63" s="21"/>
      <c r="H63" s="20"/>
      <c r="I63" s="21"/>
      <c r="J63" s="21"/>
    </row>
    <row r="64" spans="1:10" ht="12.75">
      <c r="A64" s="1" t="s">
        <v>15</v>
      </c>
      <c r="B64" s="11"/>
      <c r="C64" s="12"/>
      <c r="D64" s="12"/>
      <c r="E64" s="11"/>
      <c r="F64" s="12"/>
      <c r="G64" s="12"/>
      <c r="H64" s="11"/>
      <c r="I64" s="12"/>
      <c r="J64" s="12"/>
    </row>
    <row r="65" spans="1:10" ht="12.75">
      <c r="A65" s="2" t="s">
        <v>42</v>
      </c>
      <c r="B65" s="11">
        <v>213</v>
      </c>
      <c r="C65" s="12">
        <v>265</v>
      </c>
      <c r="D65" s="12">
        <f>SUM(B65:C65)</f>
        <v>478</v>
      </c>
      <c r="E65" s="11">
        <v>15</v>
      </c>
      <c r="F65" s="12">
        <v>19</v>
      </c>
      <c r="G65" s="12">
        <f>SUM(E65:F65)</f>
        <v>34</v>
      </c>
      <c r="H65" s="11">
        <f aca="true" t="shared" si="14" ref="H65:I68">SUM(B65,E65)</f>
        <v>228</v>
      </c>
      <c r="I65" s="12">
        <f t="shared" si="14"/>
        <v>284</v>
      </c>
      <c r="J65" s="12">
        <f>SUM(H65:I65)</f>
        <v>512</v>
      </c>
    </row>
    <row r="66" spans="1:10" ht="12.75">
      <c r="A66" s="2" t="s">
        <v>8</v>
      </c>
      <c r="B66" s="11">
        <v>24</v>
      </c>
      <c r="C66" s="12">
        <v>35</v>
      </c>
      <c r="D66" s="12">
        <f>SUM(B66:C66)</f>
        <v>59</v>
      </c>
      <c r="E66" s="11">
        <v>1</v>
      </c>
      <c r="F66" s="12">
        <v>7</v>
      </c>
      <c r="G66" s="12">
        <f>SUM(E66:F66)</f>
        <v>8</v>
      </c>
      <c r="H66" s="11">
        <f t="shared" si="14"/>
        <v>25</v>
      </c>
      <c r="I66" s="12">
        <f t="shared" si="14"/>
        <v>42</v>
      </c>
      <c r="J66" s="12">
        <f>SUM(H66:I66)</f>
        <v>67</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1973</v>
      </c>
      <c r="C68" s="25">
        <v>2934</v>
      </c>
      <c r="D68" s="25">
        <f>SUM(B68:C68)</f>
        <v>4907</v>
      </c>
      <c r="E68" s="11">
        <v>62</v>
      </c>
      <c r="F68" s="25">
        <v>224</v>
      </c>
      <c r="G68" s="25">
        <f>SUM(E68:F68)</f>
        <v>286</v>
      </c>
      <c r="H68" s="11">
        <f t="shared" si="14"/>
        <v>2035</v>
      </c>
      <c r="I68" s="25">
        <f t="shared" si="14"/>
        <v>3158</v>
      </c>
      <c r="J68" s="25">
        <f>SUM(H68:I68)</f>
        <v>5193</v>
      </c>
    </row>
    <row r="69" spans="1:10" s="17" customFormat="1" ht="12.75">
      <c r="A69" s="19" t="s">
        <v>4</v>
      </c>
      <c r="B69" s="15">
        <f>SUM(B65:B68)</f>
        <v>2210</v>
      </c>
      <c r="C69" s="16">
        <f>SUM(C65:C68)</f>
        <v>3234</v>
      </c>
      <c r="D69" s="16">
        <f aca="true" t="shared" si="15" ref="D69:J69">SUM(D65:D68)</f>
        <v>5444</v>
      </c>
      <c r="E69" s="15">
        <f>SUM(E65:E68)</f>
        <v>78</v>
      </c>
      <c r="F69" s="16">
        <f>SUM(F65:F68)</f>
        <v>250</v>
      </c>
      <c r="G69" s="16">
        <f t="shared" si="15"/>
        <v>328</v>
      </c>
      <c r="H69" s="15">
        <f t="shared" si="15"/>
        <v>2288</v>
      </c>
      <c r="I69" s="16">
        <f t="shared" si="15"/>
        <v>3484</v>
      </c>
      <c r="J69" s="16">
        <f t="shared" si="15"/>
        <v>5772</v>
      </c>
    </row>
    <row r="70" spans="1:10" ht="12.75">
      <c r="A70" s="2"/>
      <c r="B70" s="11"/>
      <c r="C70" s="12"/>
      <c r="D70" s="12"/>
      <c r="E70" s="11"/>
      <c r="F70" s="12"/>
      <c r="G70" s="12"/>
      <c r="H70" s="11"/>
      <c r="I70" s="12"/>
      <c r="J70" s="12"/>
    </row>
    <row r="71" spans="1:10" ht="12.75">
      <c r="A71" s="1" t="s">
        <v>122</v>
      </c>
      <c r="B71" s="11"/>
      <c r="C71" s="12"/>
      <c r="D71" s="12"/>
      <c r="E71" s="11"/>
      <c r="F71" s="12"/>
      <c r="G71" s="12"/>
      <c r="H71" s="11"/>
      <c r="I71" s="12"/>
      <c r="J71" s="12"/>
    </row>
    <row r="72" spans="1:12" ht="12.75">
      <c r="A72" s="2" t="s">
        <v>42</v>
      </c>
      <c r="B72" s="11">
        <v>0</v>
      </c>
      <c r="C72" s="12">
        <v>0</v>
      </c>
      <c r="D72" s="12">
        <f>SUM(B72:C72)</f>
        <v>0</v>
      </c>
      <c r="E72" s="11">
        <v>449</v>
      </c>
      <c r="F72" s="12">
        <v>1956</v>
      </c>
      <c r="G72" s="12">
        <f>SUM(E72:F72)</f>
        <v>2405</v>
      </c>
      <c r="H72" s="11">
        <f aca="true" t="shared" si="16" ref="H72:I76">SUM(B72,E72)</f>
        <v>449</v>
      </c>
      <c r="I72" s="12">
        <f t="shared" si="16"/>
        <v>1956</v>
      </c>
      <c r="J72" s="12">
        <f>SUM(H72:I72)</f>
        <v>2405</v>
      </c>
      <c r="K72" s="12"/>
      <c r="L72" s="12"/>
    </row>
    <row r="73" spans="1:12" ht="12.75">
      <c r="A73" s="2" t="s">
        <v>8</v>
      </c>
      <c r="B73" s="11">
        <v>0</v>
      </c>
      <c r="C73" s="12">
        <v>0</v>
      </c>
      <c r="D73" s="12">
        <f>SUM(B73:C73)</f>
        <v>0</v>
      </c>
      <c r="E73" s="11">
        <v>532</v>
      </c>
      <c r="F73" s="12">
        <v>2549</v>
      </c>
      <c r="G73" s="12">
        <f>SUM(E73:F73)</f>
        <v>3081</v>
      </c>
      <c r="H73" s="11">
        <f t="shared" si="16"/>
        <v>532</v>
      </c>
      <c r="I73" s="12">
        <f t="shared" si="16"/>
        <v>2549</v>
      </c>
      <c r="J73" s="12">
        <f>SUM(H73:I73)</f>
        <v>3081</v>
      </c>
      <c r="K73" s="12"/>
      <c r="L73" s="12"/>
    </row>
    <row r="74" spans="1:12" ht="12.75">
      <c r="A74" s="2" t="s">
        <v>9</v>
      </c>
      <c r="B74" s="11">
        <v>0</v>
      </c>
      <c r="C74" s="12">
        <v>0</v>
      </c>
      <c r="D74" s="12">
        <f>SUM(B74:C74)</f>
        <v>0</v>
      </c>
      <c r="E74" s="11">
        <v>15</v>
      </c>
      <c r="F74" s="12">
        <v>67</v>
      </c>
      <c r="G74" s="12">
        <f>SUM(E74:F74)</f>
        <v>82</v>
      </c>
      <c r="H74" s="11">
        <f t="shared" si="16"/>
        <v>15</v>
      </c>
      <c r="I74" s="12">
        <f t="shared" si="16"/>
        <v>67</v>
      </c>
      <c r="J74" s="12">
        <f>SUM(H74:I74)</f>
        <v>82</v>
      </c>
      <c r="K74" s="12"/>
      <c r="L74" s="12"/>
    </row>
    <row r="75" spans="1:10" ht="12.75">
      <c r="A75" s="22" t="s">
        <v>10</v>
      </c>
      <c r="B75" s="11">
        <v>0</v>
      </c>
      <c r="C75" s="25">
        <v>0</v>
      </c>
      <c r="D75" s="25">
        <f>SUM(B75:C75)</f>
        <v>0</v>
      </c>
      <c r="E75" s="11">
        <v>65</v>
      </c>
      <c r="F75" s="25">
        <v>266</v>
      </c>
      <c r="G75" s="25">
        <f>SUM(E75:F75)</f>
        <v>331</v>
      </c>
      <c r="H75" s="11">
        <f t="shared" si="16"/>
        <v>65</v>
      </c>
      <c r="I75" s="25">
        <f t="shared" si="16"/>
        <v>266</v>
      </c>
      <c r="J75" s="25">
        <f>SUM(H75:I75)</f>
        <v>331</v>
      </c>
    </row>
    <row r="76" spans="1:10" ht="12.75">
      <c r="A76" s="22" t="s">
        <v>16</v>
      </c>
      <c r="B76" s="11">
        <v>0</v>
      </c>
      <c r="C76" s="25">
        <v>0</v>
      </c>
      <c r="D76" s="25">
        <f>SUM(B76:C76)</f>
        <v>0</v>
      </c>
      <c r="E76" s="11">
        <v>137</v>
      </c>
      <c r="F76" s="25">
        <v>133</v>
      </c>
      <c r="G76" s="25">
        <f>SUM(E76:F76)</f>
        <v>270</v>
      </c>
      <c r="H76" s="11">
        <f t="shared" si="16"/>
        <v>137</v>
      </c>
      <c r="I76" s="25">
        <f t="shared" si="16"/>
        <v>133</v>
      </c>
      <c r="J76" s="25">
        <f>SUM(H76:I76)</f>
        <v>270</v>
      </c>
    </row>
    <row r="77" spans="1:10" s="17" customFormat="1" ht="12.75">
      <c r="A77" s="19" t="s">
        <v>4</v>
      </c>
      <c r="B77" s="15">
        <f>SUM(B72:B76)</f>
        <v>0</v>
      </c>
      <c r="C77" s="16">
        <f aca="true" t="shared" si="17" ref="C77:J77">SUM(C72:C76)</f>
        <v>0</v>
      </c>
      <c r="D77" s="16">
        <f t="shared" si="17"/>
        <v>0</v>
      </c>
      <c r="E77" s="15">
        <f t="shared" si="17"/>
        <v>1198</v>
      </c>
      <c r="F77" s="16">
        <f t="shared" si="17"/>
        <v>4971</v>
      </c>
      <c r="G77" s="16">
        <f t="shared" si="17"/>
        <v>6169</v>
      </c>
      <c r="H77" s="15">
        <f t="shared" si="17"/>
        <v>1198</v>
      </c>
      <c r="I77" s="16">
        <f t="shared" si="17"/>
        <v>4971</v>
      </c>
      <c r="J77" s="16">
        <f t="shared" si="17"/>
        <v>6169</v>
      </c>
    </row>
    <row r="78" spans="1:10" s="17" customFormat="1" ht="12.75">
      <c r="A78" s="19"/>
      <c r="B78" s="20"/>
      <c r="C78" s="21"/>
      <c r="D78" s="21"/>
      <c r="E78" s="20"/>
      <c r="F78" s="21"/>
      <c r="G78" s="21"/>
      <c r="H78" s="20"/>
      <c r="I78" s="21"/>
      <c r="J78" s="21"/>
    </row>
    <row r="79" spans="1:12" ht="27.75" customHeight="1">
      <c r="A79" s="201" t="s">
        <v>83</v>
      </c>
      <c r="B79" s="23">
        <f>SUM(B77,B69,B62,B55,B45,B42,B35,B28,B21,B14,B48)</f>
        <v>42739</v>
      </c>
      <c r="C79" s="24">
        <f aca="true" t="shared" si="18" ref="C79:J79">SUM(C77,C69,C62,C55,C45,C42,C35,C28,C21,C14,C48)</f>
        <v>115297</v>
      </c>
      <c r="D79" s="202">
        <f t="shared" si="18"/>
        <v>158036</v>
      </c>
      <c r="E79" s="23">
        <f t="shared" si="18"/>
        <v>5087</v>
      </c>
      <c r="F79" s="24">
        <f t="shared" si="18"/>
        <v>22962</v>
      </c>
      <c r="G79" s="202">
        <f t="shared" si="18"/>
        <v>28049</v>
      </c>
      <c r="H79" s="24">
        <f t="shared" si="18"/>
        <v>47826</v>
      </c>
      <c r="I79" s="24">
        <f t="shared" si="18"/>
        <v>138259</v>
      </c>
      <c r="J79" s="24">
        <f t="shared" si="18"/>
        <v>186085</v>
      </c>
      <c r="L79" s="12"/>
    </row>
    <row r="80" spans="1:10" ht="9.75" customHeight="1">
      <c r="A80" s="22"/>
      <c r="B80" s="25"/>
      <c r="C80" s="25"/>
      <c r="D80" s="25"/>
      <c r="E80" s="25"/>
      <c r="F80" s="25"/>
      <c r="G80" s="25"/>
      <c r="H80" s="25"/>
      <c r="I80" s="25"/>
      <c r="J80" s="25"/>
    </row>
    <row r="81" spans="1:10" ht="12.75">
      <c r="A81" s="174" t="s">
        <v>121</v>
      </c>
      <c r="B81" s="12"/>
      <c r="C81" s="12"/>
      <c r="D81" s="12"/>
      <c r="E81" s="12"/>
      <c r="F81" s="12"/>
      <c r="G81" s="12"/>
      <c r="H81" s="12"/>
      <c r="I81" s="12"/>
      <c r="J81" s="12"/>
    </row>
    <row r="82" spans="2:10" ht="12.75">
      <c r="B82" s="12"/>
      <c r="C82" s="12"/>
      <c r="D82" s="12"/>
      <c r="E82" s="12"/>
      <c r="F82" s="12"/>
      <c r="G82" s="12"/>
      <c r="H82" s="12"/>
      <c r="I82" s="12"/>
      <c r="J82" s="12"/>
    </row>
    <row r="83" spans="2:10" ht="12.75">
      <c r="B83" s="12"/>
      <c r="C83" s="12"/>
      <c r="D83" s="12"/>
      <c r="E83" s="12"/>
      <c r="F83" s="12"/>
      <c r="G83" s="12"/>
      <c r="H83" s="12"/>
      <c r="I83" s="12"/>
      <c r="J83" s="12"/>
    </row>
    <row r="84" spans="2:10" ht="12.75">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sheetData>
  <sheetProtection/>
  <printOptions horizontalCentered="1"/>
  <pageMargins left="0.1968503937007874" right="0.1968503937007874" top="0.5905511811023623" bottom="0.3937007874015748" header="0.5118110236220472" footer="0.5118110236220472"/>
  <pageSetup horizontalDpi="600" verticalDpi="600" orientation="portrait" paperSize="9" scale="72"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M43"/>
  <sheetViews>
    <sheetView zoomScalePageLayoutView="0" workbookViewId="0" topLeftCell="A1">
      <selection activeCell="A47" sqref="A47"/>
    </sheetView>
  </sheetViews>
  <sheetFormatPr defaultColWidth="9.140625" defaultRowHeight="12.75"/>
  <cols>
    <col min="1" max="1" width="24.8515625" style="0" customWidth="1"/>
    <col min="2" max="2" width="10.28125" style="0" customWidth="1"/>
    <col min="3" max="3" width="13.00390625" style="0" customWidth="1"/>
    <col min="4" max="4" width="10.7109375" style="0" customWidth="1"/>
    <col min="5" max="5" width="9.28125" style="0" bestFit="1" customWidth="1"/>
    <col min="6" max="6" width="10.7109375" style="0" customWidth="1"/>
    <col min="7" max="7" width="11.00390625" style="0" customWidth="1"/>
    <col min="8" max="8" width="9.7109375" style="0" bestFit="1" customWidth="1"/>
    <col min="9" max="9" width="10.28125" style="0" customWidth="1"/>
    <col min="10" max="10" width="12.00390625" style="0" customWidth="1"/>
  </cols>
  <sheetData>
    <row r="1" spans="1:10" ht="12.75">
      <c r="A1" s="1" t="s">
        <v>101</v>
      </c>
      <c r="B1" s="2"/>
      <c r="C1" s="2"/>
      <c r="D1" s="2"/>
      <c r="E1" s="2"/>
      <c r="F1" s="2"/>
      <c r="G1" s="2"/>
      <c r="H1" s="2"/>
      <c r="I1" s="2"/>
      <c r="J1" s="2"/>
    </row>
    <row r="2" spans="1:10" ht="12.75">
      <c r="A2" s="5" t="s">
        <v>23</v>
      </c>
      <c r="B2" s="6"/>
      <c r="C2" s="6"/>
      <c r="D2" s="6"/>
      <c r="E2" s="7"/>
      <c r="F2" s="7"/>
      <c r="G2" s="6"/>
      <c r="H2" s="6"/>
      <c r="I2" s="6"/>
      <c r="J2" s="6"/>
    </row>
    <row r="3" spans="1:10" ht="12.75">
      <c r="A3" s="6"/>
      <c r="B3" s="6"/>
      <c r="C3" s="6"/>
      <c r="D3" s="6"/>
      <c r="E3" s="7"/>
      <c r="F3" s="5"/>
      <c r="G3" s="6"/>
      <c r="H3" s="6"/>
      <c r="I3" s="6"/>
      <c r="J3" s="6"/>
    </row>
    <row r="4" spans="1:10" ht="12.75">
      <c r="A4" s="5" t="s">
        <v>105</v>
      </c>
      <c r="B4" s="6"/>
      <c r="C4" s="6"/>
      <c r="D4" s="6"/>
      <c r="E4" s="7"/>
      <c r="F4" s="7"/>
      <c r="G4" s="6"/>
      <c r="H4" s="6"/>
      <c r="I4" s="6"/>
      <c r="J4" s="6"/>
    </row>
    <row r="5" spans="1:10" ht="12.75">
      <c r="A5" s="4"/>
      <c r="B5" s="4"/>
      <c r="C5" s="4"/>
      <c r="D5" s="4"/>
      <c r="E5" s="4"/>
      <c r="F5" s="4"/>
      <c r="G5" s="4"/>
      <c r="H5" s="4"/>
      <c r="I5" s="4"/>
      <c r="J5" s="4"/>
    </row>
    <row r="6" spans="1:10" ht="12.75">
      <c r="A6" s="5" t="s">
        <v>84</v>
      </c>
      <c r="B6" s="59"/>
      <c r="C6" s="59"/>
      <c r="D6" s="59"/>
      <c r="E6" s="59"/>
      <c r="F6" s="60"/>
      <c r="G6" s="59"/>
      <c r="H6" s="59"/>
      <c r="I6" s="59"/>
      <c r="J6" s="59"/>
    </row>
    <row r="7" spans="1:10" ht="13.5" thickBot="1">
      <c r="A7" s="2"/>
      <c r="B7" s="12"/>
      <c r="C7" s="12"/>
      <c r="D7" s="12"/>
      <c r="E7" s="12"/>
      <c r="F7" s="12"/>
      <c r="G7" s="12"/>
      <c r="H7" s="12"/>
      <c r="I7" s="12"/>
      <c r="J7" s="12"/>
    </row>
    <row r="8" spans="1:10" ht="12.75">
      <c r="A8" s="61"/>
      <c r="B8" s="62" t="s">
        <v>24</v>
      </c>
      <c r="C8" s="63"/>
      <c r="D8" s="63"/>
      <c r="E8" s="62" t="s">
        <v>25</v>
      </c>
      <c r="F8" s="63"/>
      <c r="G8" s="63"/>
      <c r="H8" s="62" t="s">
        <v>4</v>
      </c>
      <c r="I8" s="63"/>
      <c r="J8" s="63"/>
    </row>
    <row r="9" spans="1:10" ht="12.75">
      <c r="A9" s="195" t="s">
        <v>26</v>
      </c>
      <c r="B9" s="157" t="s">
        <v>5</v>
      </c>
      <c r="C9" s="158" t="s">
        <v>6</v>
      </c>
      <c r="D9" s="158" t="s">
        <v>4</v>
      </c>
      <c r="E9" s="157" t="s">
        <v>5</v>
      </c>
      <c r="F9" s="158" t="s">
        <v>6</v>
      </c>
      <c r="G9" s="158" t="s">
        <v>4</v>
      </c>
      <c r="H9" s="157" t="s">
        <v>5</v>
      </c>
      <c r="I9" s="158" t="s">
        <v>6</v>
      </c>
      <c r="J9" s="158" t="s">
        <v>4</v>
      </c>
    </row>
    <row r="10" spans="1:10" ht="12.75">
      <c r="A10" s="67"/>
      <c r="B10" s="13"/>
      <c r="C10" s="68"/>
      <c r="D10" s="68"/>
      <c r="E10" s="13"/>
      <c r="F10" s="68"/>
      <c r="G10" s="68"/>
      <c r="H10" s="13"/>
      <c r="I10" s="68"/>
      <c r="J10" s="68"/>
    </row>
    <row r="11" spans="1:10" ht="12.75">
      <c r="A11" s="2" t="s">
        <v>27</v>
      </c>
      <c r="B11" s="11">
        <v>0</v>
      </c>
      <c r="C11" s="12">
        <v>0</v>
      </c>
      <c r="D11" s="12">
        <f>SUM(B11:C11)</f>
        <v>0</v>
      </c>
      <c r="E11" s="11">
        <v>784</v>
      </c>
      <c r="F11" s="12">
        <v>3718</v>
      </c>
      <c r="G11" s="12">
        <f aca="true" t="shared" si="0" ref="G11:G19">SUM(E11:F11)</f>
        <v>4502</v>
      </c>
      <c r="H11" s="11">
        <f>SUM(B11,E11)</f>
        <v>784</v>
      </c>
      <c r="I11" s="25">
        <f aca="true" t="shared" si="1" ref="I11:I19">SUM(C11,F11)</f>
        <v>3718</v>
      </c>
      <c r="J11" s="12">
        <f aca="true" t="shared" si="2" ref="J11:J19">SUM(H11:I11)</f>
        <v>4502</v>
      </c>
    </row>
    <row r="12" spans="1:10" ht="12.75">
      <c r="A12" s="2" t="s">
        <v>28</v>
      </c>
      <c r="B12" s="11">
        <v>551</v>
      </c>
      <c r="C12" s="12">
        <v>2765</v>
      </c>
      <c r="D12" s="12">
        <f aca="true" t="shared" si="3" ref="D12:D19">SUM(B12:C12)</f>
        <v>3316</v>
      </c>
      <c r="E12" s="11">
        <v>3508</v>
      </c>
      <c r="F12" s="12">
        <v>12048</v>
      </c>
      <c r="G12" s="12">
        <f t="shared" si="0"/>
        <v>15556</v>
      </c>
      <c r="H12" s="11">
        <f aca="true" t="shared" si="4" ref="H12:H19">SUM(B12,E12)</f>
        <v>4059</v>
      </c>
      <c r="I12" s="25">
        <f t="shared" si="1"/>
        <v>14813</v>
      </c>
      <c r="J12" s="12">
        <f t="shared" si="2"/>
        <v>18872</v>
      </c>
    </row>
    <row r="13" spans="1:10" ht="12.75">
      <c r="A13" s="2" t="s">
        <v>29</v>
      </c>
      <c r="B13" s="11">
        <v>2590</v>
      </c>
      <c r="C13" s="12">
        <v>10029</v>
      </c>
      <c r="D13" s="12">
        <f t="shared" si="3"/>
        <v>12619</v>
      </c>
      <c r="E13" s="11">
        <v>2334</v>
      </c>
      <c r="F13" s="12">
        <v>6194</v>
      </c>
      <c r="G13" s="12">
        <f t="shared" si="0"/>
        <v>8528</v>
      </c>
      <c r="H13" s="11">
        <f t="shared" si="4"/>
        <v>4924</v>
      </c>
      <c r="I13" s="25">
        <f t="shared" si="1"/>
        <v>16223</v>
      </c>
      <c r="J13" s="12">
        <f t="shared" si="2"/>
        <v>21147</v>
      </c>
    </row>
    <row r="14" spans="1:10" ht="12.75">
      <c r="A14" s="2" t="s">
        <v>30</v>
      </c>
      <c r="B14" s="13">
        <f>4588+1</f>
        <v>4589</v>
      </c>
      <c r="C14" s="12">
        <v>14872</v>
      </c>
      <c r="D14" s="12">
        <f t="shared" si="3"/>
        <v>19461</v>
      </c>
      <c r="E14" s="11">
        <v>1665</v>
      </c>
      <c r="F14" s="12">
        <f>3947+1</f>
        <v>3948</v>
      </c>
      <c r="G14" s="12">
        <f t="shared" si="0"/>
        <v>5613</v>
      </c>
      <c r="H14" s="11">
        <f t="shared" si="4"/>
        <v>6254</v>
      </c>
      <c r="I14" s="25">
        <f t="shared" si="1"/>
        <v>18820</v>
      </c>
      <c r="J14" s="12">
        <f t="shared" si="2"/>
        <v>25074</v>
      </c>
    </row>
    <row r="15" spans="1:10" ht="12.75">
      <c r="A15" s="2" t="s">
        <v>31</v>
      </c>
      <c r="B15" s="13">
        <v>4528</v>
      </c>
      <c r="C15" s="12">
        <v>13597</v>
      </c>
      <c r="D15" s="12">
        <f t="shared" si="3"/>
        <v>18125</v>
      </c>
      <c r="E15" s="11">
        <v>1209</v>
      </c>
      <c r="F15" s="12">
        <v>2273</v>
      </c>
      <c r="G15" s="12">
        <f t="shared" si="0"/>
        <v>3482</v>
      </c>
      <c r="H15" s="11">
        <f t="shared" si="4"/>
        <v>5737</v>
      </c>
      <c r="I15" s="25">
        <f t="shared" si="1"/>
        <v>15870</v>
      </c>
      <c r="J15" s="12">
        <f t="shared" si="2"/>
        <v>21607</v>
      </c>
    </row>
    <row r="16" spans="1:10" ht="12.75">
      <c r="A16" s="2" t="s">
        <v>32</v>
      </c>
      <c r="B16" s="13">
        <f>4240+2</f>
        <v>4242</v>
      </c>
      <c r="C16" s="12">
        <v>12522</v>
      </c>
      <c r="D16" s="12">
        <f t="shared" si="3"/>
        <v>16764</v>
      </c>
      <c r="E16" s="11">
        <v>899</v>
      </c>
      <c r="F16" s="12">
        <v>1521</v>
      </c>
      <c r="G16" s="12">
        <f t="shared" si="0"/>
        <v>2420</v>
      </c>
      <c r="H16" s="11">
        <f t="shared" si="4"/>
        <v>5141</v>
      </c>
      <c r="I16" s="25">
        <f t="shared" si="1"/>
        <v>14043</v>
      </c>
      <c r="J16" s="12">
        <f t="shared" si="2"/>
        <v>19184</v>
      </c>
    </row>
    <row r="17" spans="1:10" ht="12.75">
      <c r="A17" s="2" t="s">
        <v>33</v>
      </c>
      <c r="B17" s="13">
        <f>4797+1</f>
        <v>4798</v>
      </c>
      <c r="C17" s="12">
        <f>12832+1</f>
        <v>12833</v>
      </c>
      <c r="D17" s="12">
        <f t="shared" si="3"/>
        <v>17631</v>
      </c>
      <c r="E17" s="11">
        <v>818</v>
      </c>
      <c r="F17" s="12">
        <v>1001</v>
      </c>
      <c r="G17" s="12">
        <f t="shared" si="0"/>
        <v>1819</v>
      </c>
      <c r="H17" s="11">
        <f t="shared" si="4"/>
        <v>5616</v>
      </c>
      <c r="I17" s="25">
        <f t="shared" si="1"/>
        <v>13834</v>
      </c>
      <c r="J17" s="12">
        <f t="shared" si="2"/>
        <v>19450</v>
      </c>
    </row>
    <row r="18" spans="1:10" ht="12.75">
      <c r="A18" s="2" t="s">
        <v>34</v>
      </c>
      <c r="B18" s="13">
        <f>5978+1</f>
        <v>5979</v>
      </c>
      <c r="C18" s="12">
        <f>12891+6</f>
        <v>12897</v>
      </c>
      <c r="D18" s="12">
        <f t="shared" si="3"/>
        <v>18876</v>
      </c>
      <c r="E18" s="11">
        <v>599</v>
      </c>
      <c r="F18" s="12">
        <v>510</v>
      </c>
      <c r="G18" s="12">
        <f t="shared" si="0"/>
        <v>1109</v>
      </c>
      <c r="H18" s="11">
        <f t="shared" si="4"/>
        <v>6578</v>
      </c>
      <c r="I18" s="25">
        <f t="shared" si="1"/>
        <v>13407</v>
      </c>
      <c r="J18" s="12">
        <f t="shared" si="2"/>
        <v>19985</v>
      </c>
    </row>
    <row r="19" spans="1:13" ht="12.75">
      <c r="A19" s="2" t="s">
        <v>35</v>
      </c>
      <c r="B19" s="13">
        <f>3071+16</f>
        <v>3087</v>
      </c>
      <c r="C19" s="12">
        <f>4198+25</f>
        <v>4223</v>
      </c>
      <c r="D19" s="69">
        <f t="shared" si="3"/>
        <v>7310</v>
      </c>
      <c r="E19" s="11">
        <v>559</v>
      </c>
      <c r="F19" s="12">
        <v>346</v>
      </c>
      <c r="G19" s="69">
        <f t="shared" si="0"/>
        <v>905</v>
      </c>
      <c r="H19" s="11">
        <f t="shared" si="4"/>
        <v>3646</v>
      </c>
      <c r="I19" s="69">
        <f t="shared" si="1"/>
        <v>4569</v>
      </c>
      <c r="J19" s="69">
        <f t="shared" si="2"/>
        <v>8215</v>
      </c>
      <c r="L19" s="192"/>
      <c r="M19" s="192"/>
    </row>
    <row r="20" spans="1:10" ht="12.75">
      <c r="A20" s="19" t="s">
        <v>4</v>
      </c>
      <c r="B20" s="70">
        <f aca="true" t="shared" si="5" ref="B20:J20">SUM(B11:B19)</f>
        <v>30364</v>
      </c>
      <c r="C20" s="71">
        <f t="shared" si="5"/>
        <v>83738</v>
      </c>
      <c r="D20" s="71">
        <f t="shared" si="5"/>
        <v>114102</v>
      </c>
      <c r="E20" s="70">
        <f t="shared" si="5"/>
        <v>12375</v>
      </c>
      <c r="F20" s="71">
        <f t="shared" si="5"/>
        <v>31559</v>
      </c>
      <c r="G20" s="71">
        <f t="shared" si="5"/>
        <v>43934</v>
      </c>
      <c r="H20" s="70">
        <f t="shared" si="5"/>
        <v>42739</v>
      </c>
      <c r="I20" s="71">
        <f t="shared" si="5"/>
        <v>115297</v>
      </c>
      <c r="J20" s="71">
        <f t="shared" si="5"/>
        <v>158036</v>
      </c>
    </row>
    <row r="23" spans="1:10" ht="12.75">
      <c r="A23" s="1"/>
      <c r="B23" s="2"/>
      <c r="C23" s="2"/>
      <c r="D23" s="2"/>
      <c r="E23" s="2"/>
      <c r="F23" s="2"/>
      <c r="G23" s="2"/>
      <c r="H23" s="2"/>
      <c r="I23" s="2"/>
      <c r="J23" s="2"/>
    </row>
    <row r="24" spans="1:10" ht="12.75">
      <c r="A24" s="5" t="s">
        <v>123</v>
      </c>
      <c r="B24" s="6"/>
      <c r="C24" s="6"/>
      <c r="D24" s="6"/>
      <c r="E24" s="7"/>
      <c r="F24" s="7"/>
      <c r="G24" s="6"/>
      <c r="H24" s="6"/>
      <c r="I24" s="6"/>
      <c r="J24" s="6"/>
    </row>
    <row r="25" spans="1:10" ht="12.75">
      <c r="A25" s="6"/>
      <c r="B25" s="6"/>
      <c r="C25" s="6"/>
      <c r="D25" s="6"/>
      <c r="E25" s="7"/>
      <c r="F25" s="5"/>
      <c r="G25" s="6"/>
      <c r="H25" s="6"/>
      <c r="I25" s="6"/>
      <c r="J25" s="6"/>
    </row>
    <row r="26" spans="1:10" ht="12.75">
      <c r="A26" s="5" t="s">
        <v>105</v>
      </c>
      <c r="B26" s="6"/>
      <c r="C26" s="6"/>
      <c r="D26" s="6"/>
      <c r="E26" s="7"/>
      <c r="F26" s="7"/>
      <c r="G26" s="6"/>
      <c r="H26" s="6"/>
      <c r="I26" s="6"/>
      <c r="J26" s="6"/>
    </row>
    <row r="27" spans="1:10" ht="12.75">
      <c r="A27" s="4"/>
      <c r="B27" s="4"/>
      <c r="C27" s="4"/>
      <c r="D27" s="4"/>
      <c r="E27" s="4"/>
      <c r="F27" s="4"/>
      <c r="G27" s="4"/>
      <c r="H27" s="4"/>
      <c r="I27" s="4"/>
      <c r="J27" s="4"/>
    </row>
    <row r="28" spans="1:10" ht="12.75">
      <c r="A28" s="5" t="s">
        <v>84</v>
      </c>
      <c r="B28" s="59"/>
      <c r="C28" s="59"/>
      <c r="D28" s="59"/>
      <c r="E28" s="59"/>
      <c r="F28" s="60"/>
      <c r="G28" s="59"/>
      <c r="H28" s="59"/>
      <c r="I28" s="59"/>
      <c r="J28" s="59"/>
    </row>
    <row r="29" spans="1:10" ht="13.5" thickBot="1">
      <c r="A29" s="2"/>
      <c r="B29" s="12"/>
      <c r="C29" s="12"/>
      <c r="D29" s="12"/>
      <c r="E29" s="12"/>
      <c r="F29" s="12"/>
      <c r="G29" s="12"/>
      <c r="H29" s="12"/>
      <c r="I29" s="12"/>
      <c r="J29" s="12"/>
    </row>
    <row r="30" spans="1:10" ht="12.75">
      <c r="A30" s="61"/>
      <c r="B30" s="62" t="s">
        <v>24</v>
      </c>
      <c r="C30" s="63"/>
      <c r="D30" s="63"/>
      <c r="E30" s="62" t="s">
        <v>25</v>
      </c>
      <c r="F30" s="63"/>
      <c r="G30" s="63"/>
      <c r="H30" s="62" t="s">
        <v>4</v>
      </c>
      <c r="I30" s="63"/>
      <c r="J30" s="63"/>
    </row>
    <row r="31" spans="1:10" ht="12.75">
      <c r="A31" s="195" t="s">
        <v>26</v>
      </c>
      <c r="B31" s="157" t="s">
        <v>5</v>
      </c>
      <c r="C31" s="158" t="s">
        <v>6</v>
      </c>
      <c r="D31" s="158" t="s">
        <v>4</v>
      </c>
      <c r="E31" s="157" t="s">
        <v>5</v>
      </c>
      <c r="F31" s="158" t="s">
        <v>6</v>
      </c>
      <c r="G31" s="158" t="s">
        <v>4</v>
      </c>
      <c r="H31" s="157" t="s">
        <v>5</v>
      </c>
      <c r="I31" s="158" t="s">
        <v>6</v>
      </c>
      <c r="J31" s="158" t="s">
        <v>4</v>
      </c>
    </row>
    <row r="32" spans="1:10" ht="12.75">
      <c r="A32" s="67"/>
      <c r="B32" s="13"/>
      <c r="C32" s="68"/>
      <c r="D32" s="68"/>
      <c r="E32" s="13"/>
      <c r="F32" s="68"/>
      <c r="G32" s="68"/>
      <c r="H32" s="13"/>
      <c r="I32" s="68"/>
      <c r="J32" s="68"/>
    </row>
    <row r="33" spans="1:10" ht="12.75">
      <c r="A33" s="22" t="s">
        <v>90</v>
      </c>
      <c r="B33" s="11">
        <f>1289+2</f>
        <v>1291</v>
      </c>
      <c r="C33" s="12">
        <f>2111+1</f>
        <v>2112</v>
      </c>
      <c r="D33" s="12">
        <f>SUM(B33:C33)</f>
        <v>3403</v>
      </c>
      <c r="E33" s="11">
        <v>96</v>
      </c>
      <c r="F33" s="12">
        <v>52</v>
      </c>
      <c r="G33" s="12">
        <f aca="true" t="shared" si="6" ref="G33:G42">SUM(E33:F33)</f>
        <v>148</v>
      </c>
      <c r="H33" s="11">
        <f>SUM(B33,E33)</f>
        <v>1387</v>
      </c>
      <c r="I33" s="25">
        <f aca="true" t="shared" si="7" ref="I33:I41">SUM(C33,F33)</f>
        <v>2164</v>
      </c>
      <c r="J33" s="12">
        <f aca="true" t="shared" si="8" ref="J33:J41">SUM(H33:I33)</f>
        <v>3551</v>
      </c>
    </row>
    <row r="34" spans="1:10" ht="12.75">
      <c r="A34" s="22" t="s">
        <v>91</v>
      </c>
      <c r="B34" s="11">
        <f>759+1</f>
        <v>760</v>
      </c>
      <c r="C34" s="12">
        <v>870</v>
      </c>
      <c r="D34" s="12">
        <f aca="true" t="shared" si="9" ref="D34:D42">SUM(B34:C34)</f>
        <v>1630</v>
      </c>
      <c r="E34" s="11">
        <v>79</v>
      </c>
      <c r="F34" s="12">
        <v>49</v>
      </c>
      <c r="G34" s="12">
        <f t="shared" si="6"/>
        <v>128</v>
      </c>
      <c r="H34" s="11">
        <f aca="true" t="shared" si="10" ref="H34:H41">SUM(B34,E34)</f>
        <v>839</v>
      </c>
      <c r="I34" s="25">
        <f t="shared" si="7"/>
        <v>919</v>
      </c>
      <c r="J34" s="12">
        <f t="shared" si="8"/>
        <v>1758</v>
      </c>
    </row>
    <row r="35" spans="1:10" ht="12.75">
      <c r="A35" s="22" t="s">
        <v>92</v>
      </c>
      <c r="B35" s="11">
        <f>373+3</f>
        <v>376</v>
      </c>
      <c r="C35" s="12">
        <v>389</v>
      </c>
      <c r="D35" s="12">
        <f t="shared" si="9"/>
        <v>765</v>
      </c>
      <c r="E35" s="11">
        <v>68</v>
      </c>
      <c r="F35" s="12">
        <v>46</v>
      </c>
      <c r="G35" s="12">
        <f t="shared" si="6"/>
        <v>114</v>
      </c>
      <c r="H35" s="11">
        <f t="shared" si="10"/>
        <v>444</v>
      </c>
      <c r="I35" s="25">
        <f t="shared" si="7"/>
        <v>435</v>
      </c>
      <c r="J35" s="12">
        <f t="shared" si="8"/>
        <v>879</v>
      </c>
    </row>
    <row r="36" spans="1:10" ht="12.75">
      <c r="A36" s="22" t="s">
        <v>93</v>
      </c>
      <c r="B36" s="13">
        <f>229+1</f>
        <v>230</v>
      </c>
      <c r="C36" s="12">
        <f>245+1</f>
        <v>246</v>
      </c>
      <c r="D36" s="12">
        <f t="shared" si="9"/>
        <v>476</v>
      </c>
      <c r="E36" s="11">
        <v>63</v>
      </c>
      <c r="F36" s="12">
        <v>40</v>
      </c>
      <c r="G36" s="12">
        <f t="shared" si="6"/>
        <v>103</v>
      </c>
      <c r="H36" s="11">
        <f t="shared" si="10"/>
        <v>293</v>
      </c>
      <c r="I36" s="25">
        <f t="shared" si="7"/>
        <v>286</v>
      </c>
      <c r="J36" s="12">
        <f t="shared" si="8"/>
        <v>579</v>
      </c>
    </row>
    <row r="37" spans="1:10" ht="12.75">
      <c r="A37" s="22" t="s">
        <v>94</v>
      </c>
      <c r="B37" s="13">
        <v>152</v>
      </c>
      <c r="C37" s="12">
        <v>134</v>
      </c>
      <c r="D37" s="12">
        <f t="shared" si="9"/>
        <v>286</v>
      </c>
      <c r="E37" s="11">
        <v>50</v>
      </c>
      <c r="F37" s="12">
        <v>41</v>
      </c>
      <c r="G37" s="12">
        <f t="shared" si="6"/>
        <v>91</v>
      </c>
      <c r="H37" s="11">
        <f t="shared" si="10"/>
        <v>202</v>
      </c>
      <c r="I37" s="25">
        <f t="shared" si="7"/>
        <v>175</v>
      </c>
      <c r="J37" s="12">
        <f t="shared" si="8"/>
        <v>377</v>
      </c>
    </row>
    <row r="38" spans="1:10" ht="12.75">
      <c r="A38" s="22" t="s">
        <v>95</v>
      </c>
      <c r="B38" s="13">
        <v>125</v>
      </c>
      <c r="C38" s="12">
        <v>92</v>
      </c>
      <c r="D38" s="12">
        <f t="shared" si="9"/>
        <v>217</v>
      </c>
      <c r="E38" s="11">
        <v>44</v>
      </c>
      <c r="F38" s="12">
        <v>26</v>
      </c>
      <c r="G38" s="12">
        <f t="shared" si="6"/>
        <v>70</v>
      </c>
      <c r="H38" s="11">
        <f t="shared" si="10"/>
        <v>169</v>
      </c>
      <c r="I38" s="25">
        <f t="shared" si="7"/>
        <v>118</v>
      </c>
      <c r="J38" s="12">
        <f t="shared" si="8"/>
        <v>287</v>
      </c>
    </row>
    <row r="39" spans="1:10" ht="12.75">
      <c r="A39" s="22" t="s">
        <v>97</v>
      </c>
      <c r="B39" s="13">
        <v>21</v>
      </c>
      <c r="C39" s="12">
        <v>11</v>
      </c>
      <c r="D39" s="12">
        <f t="shared" si="9"/>
        <v>32</v>
      </c>
      <c r="E39" s="11">
        <v>38</v>
      </c>
      <c r="F39" s="12">
        <v>18</v>
      </c>
      <c r="G39" s="12">
        <f t="shared" si="6"/>
        <v>56</v>
      </c>
      <c r="H39" s="11">
        <f t="shared" si="10"/>
        <v>59</v>
      </c>
      <c r="I39" s="25">
        <f t="shared" si="7"/>
        <v>29</v>
      </c>
      <c r="J39" s="12">
        <f t="shared" si="8"/>
        <v>88</v>
      </c>
    </row>
    <row r="40" spans="1:10" ht="12.75">
      <c r="A40" s="22" t="s">
        <v>98</v>
      </c>
      <c r="B40" s="13">
        <v>6</v>
      </c>
      <c r="C40" s="12">
        <v>0</v>
      </c>
      <c r="D40" s="12">
        <f t="shared" si="9"/>
        <v>6</v>
      </c>
      <c r="E40" s="11">
        <v>27</v>
      </c>
      <c r="F40" s="12">
        <v>25</v>
      </c>
      <c r="G40" s="12">
        <f t="shared" si="6"/>
        <v>52</v>
      </c>
      <c r="H40" s="11">
        <f t="shared" si="10"/>
        <v>33</v>
      </c>
      <c r="I40" s="25">
        <f t="shared" si="7"/>
        <v>25</v>
      </c>
      <c r="J40" s="12">
        <f t="shared" si="8"/>
        <v>58</v>
      </c>
    </row>
    <row r="41" spans="1:10" ht="12.75">
      <c r="A41" s="2" t="s">
        <v>99</v>
      </c>
      <c r="B41" s="13">
        <v>6</v>
      </c>
      <c r="C41" s="12">
        <v>2</v>
      </c>
      <c r="D41" s="25">
        <f t="shared" si="9"/>
        <v>8</v>
      </c>
      <c r="E41" s="11">
        <f>24+19+17+9+9+2+10+2+1+1</f>
        <v>94</v>
      </c>
      <c r="F41" s="12">
        <f>16+13+8+3+3+1+2+1+1+1</f>
        <v>49</v>
      </c>
      <c r="G41" s="25">
        <f t="shared" si="6"/>
        <v>143</v>
      </c>
      <c r="H41" s="11">
        <f t="shared" si="10"/>
        <v>100</v>
      </c>
      <c r="I41" s="25">
        <f t="shared" si="7"/>
        <v>51</v>
      </c>
      <c r="J41" s="25">
        <f t="shared" si="8"/>
        <v>151</v>
      </c>
    </row>
    <row r="42" spans="1:10" ht="12.75">
      <c r="A42" s="2" t="s">
        <v>96</v>
      </c>
      <c r="B42" s="13">
        <f>111+9</f>
        <v>120</v>
      </c>
      <c r="C42" s="12">
        <f>344+23</f>
        <v>367</v>
      </c>
      <c r="D42" s="188">
        <f t="shared" si="9"/>
        <v>487</v>
      </c>
      <c r="E42" s="11">
        <v>0</v>
      </c>
      <c r="F42" s="12">
        <v>0</v>
      </c>
      <c r="G42" s="188">
        <f t="shared" si="6"/>
        <v>0</v>
      </c>
      <c r="H42" s="11">
        <f>SUM(B42,E42)</f>
        <v>120</v>
      </c>
      <c r="I42" s="69">
        <f>SUM(C42,F42)</f>
        <v>367</v>
      </c>
      <c r="J42" s="69">
        <f>SUM(H42:I42)</f>
        <v>487</v>
      </c>
    </row>
    <row r="43" spans="1:12" ht="12.75">
      <c r="A43" s="19" t="s">
        <v>4</v>
      </c>
      <c r="B43" s="70">
        <f aca="true" t="shared" si="11" ref="B43:J43">SUM(B33:B42)</f>
        <v>3087</v>
      </c>
      <c r="C43" s="71">
        <f t="shared" si="11"/>
        <v>4223</v>
      </c>
      <c r="D43" s="71">
        <f t="shared" si="11"/>
        <v>7310</v>
      </c>
      <c r="E43" s="70">
        <f t="shared" si="11"/>
        <v>559</v>
      </c>
      <c r="F43" s="71">
        <f t="shared" si="11"/>
        <v>346</v>
      </c>
      <c r="G43" s="71">
        <f t="shared" si="11"/>
        <v>905</v>
      </c>
      <c r="H43" s="70">
        <f t="shared" si="11"/>
        <v>3646</v>
      </c>
      <c r="I43" s="71">
        <f t="shared" si="11"/>
        <v>4569</v>
      </c>
      <c r="J43" s="71">
        <f t="shared" si="11"/>
        <v>8215</v>
      </c>
      <c r="L43" s="192">
        <f>J19-J43</f>
        <v>0</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2"/>
  </sheetPr>
  <dimension ref="A1:V76"/>
  <sheetViews>
    <sheetView zoomScalePageLayoutView="0" workbookViewId="0" topLeftCell="A1">
      <selection activeCell="A80" sqref="A80"/>
    </sheetView>
  </sheetViews>
  <sheetFormatPr defaultColWidth="9.28125" defaultRowHeight="12.75"/>
  <cols>
    <col min="1" max="1" width="33.28125" style="75" customWidth="1"/>
    <col min="2" max="2" width="11.00390625" style="75" customWidth="1"/>
    <col min="3" max="3" width="10.28125" style="75" customWidth="1"/>
    <col min="4" max="4" width="9.7109375" style="75" customWidth="1"/>
    <col min="5" max="5" width="7.7109375" style="75" customWidth="1"/>
    <col min="6" max="6" width="11.00390625" style="75" customWidth="1"/>
    <col min="7" max="7" width="10.00390625" style="75" customWidth="1"/>
    <col min="8" max="8" width="7.7109375" style="75" customWidth="1"/>
    <col min="9" max="9" width="10.00390625" style="75" customWidth="1"/>
    <col min="10" max="10" width="10.28125" style="75" customWidth="1"/>
    <col min="11" max="12" width="7.7109375" style="75" customWidth="1"/>
    <col min="13" max="13" width="11.00390625" style="75" customWidth="1"/>
    <col min="14" max="14" width="10.00390625" style="75" customWidth="1"/>
    <col min="15" max="15" width="10.28125" style="75" customWidth="1"/>
    <col min="16" max="16" width="10.7109375" style="75" customWidth="1"/>
    <col min="17" max="17" width="9.7109375" style="75" customWidth="1"/>
    <col min="18" max="19" width="10.421875" style="75" customWidth="1"/>
    <col min="20" max="16384" width="9.28125" style="75" customWidth="1"/>
  </cols>
  <sheetData>
    <row r="1" spans="1:19" ht="12.75">
      <c r="A1" s="72" t="s">
        <v>101</v>
      </c>
      <c r="B1" s="73"/>
      <c r="C1" s="73"/>
      <c r="D1" s="73"/>
      <c r="E1" s="74"/>
      <c r="F1" s="73"/>
      <c r="G1" s="73"/>
      <c r="H1" s="73"/>
      <c r="I1" s="73"/>
      <c r="J1" s="73"/>
      <c r="K1" s="73"/>
      <c r="L1" s="73"/>
      <c r="M1" s="73"/>
      <c r="N1" s="73"/>
      <c r="O1" s="73"/>
      <c r="P1" s="73"/>
      <c r="Q1" s="73"/>
      <c r="R1" s="73"/>
      <c r="S1" s="73"/>
    </row>
    <row r="2" spans="1:19" ht="12.75">
      <c r="A2" s="76" t="s">
        <v>74</v>
      </c>
      <c r="B2" s="77"/>
      <c r="C2" s="77"/>
      <c r="D2" s="76"/>
      <c r="E2" s="78"/>
      <c r="F2" s="77"/>
      <c r="G2" s="79"/>
      <c r="H2" s="77"/>
      <c r="I2" s="79"/>
      <c r="J2" s="77"/>
      <c r="K2" s="77"/>
      <c r="L2" s="77"/>
      <c r="M2" s="77"/>
      <c r="N2" s="77"/>
      <c r="O2" s="77"/>
      <c r="P2" s="77"/>
      <c r="Q2" s="77"/>
      <c r="R2" s="77"/>
      <c r="S2" s="77"/>
    </row>
    <row r="3" spans="1:19" ht="12.75">
      <c r="A3" s="76"/>
      <c r="B3" s="77"/>
      <c r="C3" s="77"/>
      <c r="D3" s="77"/>
      <c r="E3" s="78"/>
      <c r="F3" s="76"/>
      <c r="G3" s="79"/>
      <c r="H3" s="77"/>
      <c r="I3" s="79"/>
      <c r="J3" s="77"/>
      <c r="K3" s="77"/>
      <c r="L3" s="77"/>
      <c r="M3" s="77"/>
      <c r="N3" s="77"/>
      <c r="O3" s="77"/>
      <c r="P3" s="77"/>
      <c r="Q3" s="77"/>
      <c r="R3" s="77"/>
      <c r="S3" s="77"/>
    </row>
    <row r="4" spans="1:19" ht="12.75">
      <c r="A4" s="76" t="s">
        <v>104</v>
      </c>
      <c r="B4" s="77"/>
      <c r="C4" s="77"/>
      <c r="D4" s="77"/>
      <c r="E4" s="78"/>
      <c r="F4" s="76"/>
      <c r="G4" s="79"/>
      <c r="H4" s="77"/>
      <c r="I4" s="79"/>
      <c r="J4" s="77"/>
      <c r="K4" s="77"/>
      <c r="L4" s="77"/>
      <c r="M4" s="77"/>
      <c r="N4" s="77"/>
      <c r="O4" s="77"/>
      <c r="P4" s="77"/>
      <c r="Q4" s="77"/>
      <c r="R4" s="77"/>
      <c r="S4" s="77"/>
    </row>
    <row r="5" spans="1:19" ht="13.5" thickBot="1">
      <c r="A5" s="73"/>
      <c r="B5" s="73"/>
      <c r="C5" s="73"/>
      <c r="D5" s="73"/>
      <c r="E5" s="74"/>
      <c r="F5" s="73"/>
      <c r="G5" s="73"/>
      <c r="H5" s="73"/>
      <c r="I5" s="73"/>
      <c r="J5" s="73"/>
      <c r="K5" s="73"/>
      <c r="L5" s="73"/>
      <c r="M5" s="73"/>
      <c r="N5" s="73"/>
      <c r="O5" s="73"/>
      <c r="P5" s="73"/>
      <c r="Q5" s="73"/>
      <c r="R5" s="73"/>
      <c r="S5" s="73"/>
    </row>
    <row r="6" spans="1:19" ht="12.75">
      <c r="A6" s="80"/>
      <c r="B6" s="225" t="s">
        <v>70</v>
      </c>
      <c r="C6" s="149"/>
      <c r="D6" s="149"/>
      <c r="E6" s="149"/>
      <c r="F6" s="149"/>
      <c r="G6" s="149"/>
      <c r="H6" s="225" t="s">
        <v>69</v>
      </c>
      <c r="I6" s="149"/>
      <c r="J6" s="149"/>
      <c r="K6" s="149"/>
      <c r="L6" s="149"/>
      <c r="M6" s="149"/>
      <c r="N6" s="148" t="s">
        <v>4</v>
      </c>
      <c r="O6" s="149"/>
      <c r="P6" s="149"/>
      <c r="Q6" s="149"/>
      <c r="R6" s="149"/>
      <c r="S6" s="149"/>
    </row>
    <row r="7" spans="1:19" ht="12.75">
      <c r="A7" s="74"/>
      <c r="B7" s="150" t="s">
        <v>24</v>
      </c>
      <c r="C7" s="151"/>
      <c r="D7" s="151"/>
      <c r="E7" s="150" t="s">
        <v>25</v>
      </c>
      <c r="F7" s="151"/>
      <c r="G7" s="151"/>
      <c r="H7" s="150" t="s">
        <v>24</v>
      </c>
      <c r="I7" s="151"/>
      <c r="J7" s="151"/>
      <c r="K7" s="150" t="s">
        <v>25</v>
      </c>
      <c r="L7" s="151"/>
      <c r="M7" s="151"/>
      <c r="N7" s="150" t="s">
        <v>24</v>
      </c>
      <c r="O7" s="151"/>
      <c r="P7" s="151"/>
      <c r="Q7" s="150" t="s">
        <v>25</v>
      </c>
      <c r="R7" s="151"/>
      <c r="S7" s="151"/>
    </row>
    <row r="8" spans="1:19" ht="12.75">
      <c r="A8" s="81"/>
      <c r="B8" s="177" t="s">
        <v>5</v>
      </c>
      <c r="C8" s="178" t="s">
        <v>6</v>
      </c>
      <c r="D8" s="178" t="s">
        <v>4</v>
      </c>
      <c r="E8" s="177" t="s">
        <v>5</v>
      </c>
      <c r="F8" s="178" t="s">
        <v>6</v>
      </c>
      <c r="G8" s="178" t="s">
        <v>4</v>
      </c>
      <c r="H8" s="177" t="s">
        <v>5</v>
      </c>
      <c r="I8" s="178" t="s">
        <v>6</v>
      </c>
      <c r="J8" s="178" t="s">
        <v>4</v>
      </c>
      <c r="K8" s="177" t="s">
        <v>5</v>
      </c>
      <c r="L8" s="178" t="s">
        <v>6</v>
      </c>
      <c r="M8" s="178" t="s">
        <v>4</v>
      </c>
      <c r="N8" s="177" t="s">
        <v>5</v>
      </c>
      <c r="O8" s="178" t="s">
        <v>6</v>
      </c>
      <c r="P8" s="178" t="s">
        <v>4</v>
      </c>
      <c r="Q8" s="177" t="s">
        <v>5</v>
      </c>
      <c r="R8" s="178" t="s">
        <v>6</v>
      </c>
      <c r="S8" s="178" t="s">
        <v>4</v>
      </c>
    </row>
    <row r="9" spans="1:19" ht="12.75">
      <c r="A9" s="72"/>
      <c r="B9" s="82"/>
      <c r="C9" s="72"/>
      <c r="D9" s="72"/>
      <c r="E9" s="83"/>
      <c r="F9" s="73"/>
      <c r="G9" s="73"/>
      <c r="H9" s="83"/>
      <c r="I9" s="73"/>
      <c r="J9" s="73"/>
      <c r="K9" s="83"/>
      <c r="L9" s="73"/>
      <c r="M9" s="73"/>
      <c r="N9" s="83"/>
      <c r="O9" s="73"/>
      <c r="P9" s="73"/>
      <c r="Q9" s="83"/>
      <c r="R9" s="73"/>
      <c r="S9" s="73"/>
    </row>
    <row r="10" spans="1:19" ht="12.75">
      <c r="A10" s="72" t="s">
        <v>7</v>
      </c>
      <c r="B10" s="84"/>
      <c r="C10" s="85"/>
      <c r="D10" s="85"/>
      <c r="E10" s="84"/>
      <c r="F10" s="85"/>
      <c r="G10" s="85"/>
      <c r="H10" s="84"/>
      <c r="I10" s="85"/>
      <c r="J10" s="85"/>
      <c r="K10" s="84"/>
      <c r="L10" s="85"/>
      <c r="M10" s="85"/>
      <c r="N10" s="84"/>
      <c r="O10" s="85"/>
      <c r="P10" s="85"/>
      <c r="Q10" s="84"/>
      <c r="R10" s="85"/>
      <c r="S10" s="85"/>
    </row>
    <row r="11" spans="1:22" ht="12.75">
      <c r="A11" s="73" t="s">
        <v>42</v>
      </c>
      <c r="B11" s="84">
        <v>653</v>
      </c>
      <c r="C11" s="85">
        <v>4238</v>
      </c>
      <c r="D11" s="85">
        <f>SUM(B11:C11)</f>
        <v>4891</v>
      </c>
      <c r="E11" s="84">
        <v>205</v>
      </c>
      <c r="F11" s="85">
        <v>1266</v>
      </c>
      <c r="G11" s="85">
        <f>SUM(E11:F11)</f>
        <v>1471</v>
      </c>
      <c r="H11" s="84">
        <v>150</v>
      </c>
      <c r="I11" s="85">
        <v>1863</v>
      </c>
      <c r="J11" s="85">
        <f>SUM(H11:I11)</f>
        <v>2013</v>
      </c>
      <c r="K11" s="84">
        <v>167</v>
      </c>
      <c r="L11" s="85">
        <v>1016</v>
      </c>
      <c r="M11" s="85">
        <f>SUM(K11:L11)</f>
        <v>1183</v>
      </c>
      <c r="N11" s="84">
        <f aca="true" t="shared" si="0" ref="N11:O14">SUM(B11,H11)</f>
        <v>803</v>
      </c>
      <c r="O11" s="85">
        <f t="shared" si="0"/>
        <v>6101</v>
      </c>
      <c r="P11" s="85">
        <f>SUM(N11:O11)</f>
        <v>6904</v>
      </c>
      <c r="Q11" s="84">
        <f aca="true" t="shared" si="1" ref="Q11:R14">SUM(E11,K11)</f>
        <v>372</v>
      </c>
      <c r="R11" s="85">
        <f t="shared" si="1"/>
        <v>2282</v>
      </c>
      <c r="S11" s="85">
        <f>SUM(Q11:R11)</f>
        <v>2654</v>
      </c>
      <c r="U11"/>
      <c r="V11"/>
    </row>
    <row r="12" spans="1:22" ht="12.75">
      <c r="A12" s="73" t="s">
        <v>8</v>
      </c>
      <c r="B12" s="84">
        <v>2749</v>
      </c>
      <c r="C12" s="85">
        <v>13772</v>
      </c>
      <c r="D12" s="85">
        <f>SUM(B12:C12)</f>
        <v>16521</v>
      </c>
      <c r="E12" s="84">
        <v>668</v>
      </c>
      <c r="F12" s="85">
        <v>4750</v>
      </c>
      <c r="G12" s="85">
        <f>SUM(E12:F12)</f>
        <v>5418</v>
      </c>
      <c r="H12" s="84">
        <v>828</v>
      </c>
      <c r="I12" s="85">
        <v>9205</v>
      </c>
      <c r="J12" s="85">
        <f>SUM(H12:I12)</f>
        <v>10033</v>
      </c>
      <c r="K12" s="84">
        <v>434</v>
      </c>
      <c r="L12" s="85">
        <v>3442</v>
      </c>
      <c r="M12" s="85">
        <f>SUM(K12:L12)</f>
        <v>3876</v>
      </c>
      <c r="N12" s="84">
        <f t="shared" si="0"/>
        <v>3577</v>
      </c>
      <c r="O12" s="85">
        <f t="shared" si="0"/>
        <v>22977</v>
      </c>
      <c r="P12" s="85">
        <f>SUM(N12:O12)</f>
        <v>26554</v>
      </c>
      <c r="Q12" s="84">
        <f t="shared" si="1"/>
        <v>1102</v>
      </c>
      <c r="R12" s="85">
        <f t="shared" si="1"/>
        <v>8192</v>
      </c>
      <c r="S12" s="85">
        <f>SUM(Q12:R12)</f>
        <v>9294</v>
      </c>
      <c r="U12"/>
      <c r="V12"/>
    </row>
    <row r="13" spans="1:22" ht="12.75">
      <c r="A13" s="73" t="s">
        <v>9</v>
      </c>
      <c r="B13" s="84">
        <v>2</v>
      </c>
      <c r="C13" s="85">
        <v>15</v>
      </c>
      <c r="D13" s="85">
        <f>SUM(B13:C13)</f>
        <v>17</v>
      </c>
      <c r="E13" s="84">
        <v>0</v>
      </c>
      <c r="F13" s="85">
        <v>3</v>
      </c>
      <c r="G13" s="85">
        <f>SUM(E13:F13)</f>
        <v>3</v>
      </c>
      <c r="H13" s="84">
        <v>1</v>
      </c>
      <c r="I13" s="85">
        <v>5</v>
      </c>
      <c r="J13" s="85">
        <f>SUM(H13:I13)</f>
        <v>6</v>
      </c>
      <c r="K13" s="86">
        <v>0</v>
      </c>
      <c r="L13" s="85">
        <v>4</v>
      </c>
      <c r="M13" s="85">
        <f>SUM(K13:L13)</f>
        <v>4</v>
      </c>
      <c r="N13" s="84">
        <f t="shared" si="0"/>
        <v>3</v>
      </c>
      <c r="O13" s="85">
        <f t="shared" si="0"/>
        <v>20</v>
      </c>
      <c r="P13" s="85">
        <f>SUM(N13:O13)</f>
        <v>23</v>
      </c>
      <c r="Q13" s="84">
        <f t="shared" si="1"/>
        <v>0</v>
      </c>
      <c r="R13" s="85">
        <f t="shared" si="1"/>
        <v>7</v>
      </c>
      <c r="S13" s="85">
        <f>SUM(Q13:R13)</f>
        <v>7</v>
      </c>
      <c r="U13"/>
      <c r="V13"/>
    </row>
    <row r="14" spans="1:22" ht="12.75">
      <c r="A14" s="73" t="s">
        <v>10</v>
      </c>
      <c r="B14" s="84">
        <v>1032</v>
      </c>
      <c r="C14" s="85">
        <v>5563</v>
      </c>
      <c r="D14" s="85">
        <f>SUM(B14:C14)</f>
        <v>6595</v>
      </c>
      <c r="E14" s="84">
        <v>278</v>
      </c>
      <c r="F14" s="85">
        <v>1894</v>
      </c>
      <c r="G14" s="85">
        <f>SUM(E14:F14)</f>
        <v>2172</v>
      </c>
      <c r="H14" s="84">
        <v>323</v>
      </c>
      <c r="I14" s="85">
        <v>3347</v>
      </c>
      <c r="J14" s="85">
        <f>SUM(H14:I14)</f>
        <v>3670</v>
      </c>
      <c r="K14" s="84">
        <v>230</v>
      </c>
      <c r="L14" s="85">
        <v>1347</v>
      </c>
      <c r="M14" s="85">
        <f>SUM(K14:L14)</f>
        <v>1577</v>
      </c>
      <c r="N14" s="84">
        <f t="shared" si="0"/>
        <v>1355</v>
      </c>
      <c r="O14" s="85">
        <f t="shared" si="0"/>
        <v>8910</v>
      </c>
      <c r="P14" s="85">
        <f>SUM(N14:O14)</f>
        <v>10265</v>
      </c>
      <c r="Q14" s="84">
        <f t="shared" si="1"/>
        <v>508</v>
      </c>
      <c r="R14" s="85">
        <f t="shared" si="1"/>
        <v>3241</v>
      </c>
      <c r="S14" s="85">
        <f>SUM(Q14:R14)</f>
        <v>3749</v>
      </c>
      <c r="U14"/>
      <c r="V14"/>
    </row>
    <row r="15" spans="1:22" ht="12.75">
      <c r="A15" s="87" t="s">
        <v>4</v>
      </c>
      <c r="B15" s="88">
        <f>SUM(B11:B14)</f>
        <v>4436</v>
      </c>
      <c r="C15" s="89">
        <f aca="true" t="shared" si="2" ref="C15:S15">SUM(C11:C14)</f>
        <v>23588</v>
      </c>
      <c r="D15" s="89">
        <f t="shared" si="2"/>
        <v>28024</v>
      </c>
      <c r="E15" s="88">
        <f t="shared" si="2"/>
        <v>1151</v>
      </c>
      <c r="F15" s="89">
        <f t="shared" si="2"/>
        <v>7913</v>
      </c>
      <c r="G15" s="89">
        <f t="shared" si="2"/>
        <v>9064</v>
      </c>
      <c r="H15" s="88">
        <f t="shared" si="2"/>
        <v>1302</v>
      </c>
      <c r="I15" s="89">
        <f t="shared" si="2"/>
        <v>14420</v>
      </c>
      <c r="J15" s="89">
        <f t="shared" si="2"/>
        <v>15722</v>
      </c>
      <c r="K15" s="88">
        <f t="shared" si="2"/>
        <v>831</v>
      </c>
      <c r="L15" s="89">
        <f t="shared" si="2"/>
        <v>5809</v>
      </c>
      <c r="M15" s="89">
        <f t="shared" si="2"/>
        <v>6640</v>
      </c>
      <c r="N15" s="88">
        <f t="shared" si="2"/>
        <v>5738</v>
      </c>
      <c r="O15" s="89">
        <f t="shared" si="2"/>
        <v>38008</v>
      </c>
      <c r="P15" s="89">
        <f t="shared" si="2"/>
        <v>43746</v>
      </c>
      <c r="Q15" s="88">
        <f t="shared" si="2"/>
        <v>1982</v>
      </c>
      <c r="R15" s="89">
        <f t="shared" si="2"/>
        <v>13722</v>
      </c>
      <c r="S15" s="89">
        <f t="shared" si="2"/>
        <v>15704</v>
      </c>
      <c r="U15"/>
      <c r="V15"/>
    </row>
    <row r="16" spans="1:22" ht="12.75">
      <c r="A16" s="74"/>
      <c r="B16" s="84"/>
      <c r="C16" s="85"/>
      <c r="D16" s="85"/>
      <c r="E16" s="84"/>
      <c r="F16" s="85"/>
      <c r="G16" s="85"/>
      <c r="H16" s="84"/>
      <c r="I16" s="85"/>
      <c r="J16" s="85"/>
      <c r="K16" s="84"/>
      <c r="L16" s="85"/>
      <c r="M16" s="85"/>
      <c r="N16" s="84"/>
      <c r="O16" s="85"/>
      <c r="P16" s="85"/>
      <c r="Q16" s="84"/>
      <c r="R16" s="85"/>
      <c r="S16" s="85"/>
      <c r="U16"/>
      <c r="V16"/>
    </row>
    <row r="17" spans="1:22" ht="12.75">
      <c r="A17" s="72" t="s">
        <v>11</v>
      </c>
      <c r="B17" s="84"/>
      <c r="C17" s="85"/>
      <c r="D17" s="85"/>
      <c r="E17" s="84"/>
      <c r="F17" s="85"/>
      <c r="G17" s="85"/>
      <c r="H17" s="84"/>
      <c r="I17" s="85"/>
      <c r="J17" s="85"/>
      <c r="K17" s="84"/>
      <c r="L17" s="85"/>
      <c r="M17" s="85"/>
      <c r="N17" s="84"/>
      <c r="O17" s="85"/>
      <c r="P17" s="85"/>
      <c r="Q17" s="84"/>
      <c r="R17" s="85"/>
      <c r="S17" s="85"/>
      <c r="U17"/>
      <c r="V17"/>
    </row>
    <row r="18" spans="1:22" ht="12.75">
      <c r="A18" s="73" t="s">
        <v>42</v>
      </c>
      <c r="B18" s="84">
        <v>165</v>
      </c>
      <c r="C18" s="164">
        <v>715</v>
      </c>
      <c r="D18" s="85">
        <f>SUM(B18:C18)</f>
        <v>880</v>
      </c>
      <c r="E18" s="84">
        <v>33</v>
      </c>
      <c r="F18" s="85">
        <v>193</v>
      </c>
      <c r="G18" s="85">
        <f>SUM(E18:F18)</f>
        <v>226</v>
      </c>
      <c r="H18" s="84">
        <v>40</v>
      </c>
      <c r="I18" s="85">
        <v>376</v>
      </c>
      <c r="J18" s="85">
        <f>SUM(H18:I18)</f>
        <v>416</v>
      </c>
      <c r="K18" s="84">
        <v>17</v>
      </c>
      <c r="L18" s="85">
        <v>125</v>
      </c>
      <c r="M18" s="85">
        <f>SUM(K18:L18)</f>
        <v>142</v>
      </c>
      <c r="N18" s="84">
        <f aca="true" t="shared" si="3" ref="N18:O21">SUM(B18,H18)</f>
        <v>205</v>
      </c>
      <c r="O18" s="85">
        <f t="shared" si="3"/>
        <v>1091</v>
      </c>
      <c r="P18" s="85">
        <f>SUM(N18:O18)</f>
        <v>1296</v>
      </c>
      <c r="Q18" s="84">
        <f aca="true" t="shared" si="4" ref="Q18:R21">SUM(E18,K18)</f>
        <v>50</v>
      </c>
      <c r="R18" s="85">
        <f t="shared" si="4"/>
        <v>318</v>
      </c>
      <c r="S18" s="85">
        <f>SUM(Q18:R18)</f>
        <v>368</v>
      </c>
      <c r="U18"/>
      <c r="V18"/>
    </row>
    <row r="19" spans="1:22" ht="12.75">
      <c r="A19" s="73" t="s">
        <v>8</v>
      </c>
      <c r="B19" s="84">
        <v>415</v>
      </c>
      <c r="C19" s="85">
        <v>1444</v>
      </c>
      <c r="D19" s="85">
        <f>SUM(B19:C19)</f>
        <v>1859</v>
      </c>
      <c r="E19" s="84">
        <v>81</v>
      </c>
      <c r="F19" s="85">
        <v>610</v>
      </c>
      <c r="G19" s="85">
        <f>SUM(E19:F19)</f>
        <v>691</v>
      </c>
      <c r="H19" s="84">
        <v>125</v>
      </c>
      <c r="I19" s="85">
        <v>1133</v>
      </c>
      <c r="J19" s="85">
        <f>SUM(H19:I19)</f>
        <v>1258</v>
      </c>
      <c r="K19" s="84">
        <v>56</v>
      </c>
      <c r="L19" s="85">
        <v>370</v>
      </c>
      <c r="M19" s="85">
        <f>SUM(K19:L19)</f>
        <v>426</v>
      </c>
      <c r="N19" s="84">
        <f t="shared" si="3"/>
        <v>540</v>
      </c>
      <c r="O19" s="85">
        <f t="shared" si="3"/>
        <v>2577</v>
      </c>
      <c r="P19" s="85">
        <f>SUM(N19:O19)</f>
        <v>3117</v>
      </c>
      <c r="Q19" s="84">
        <f t="shared" si="4"/>
        <v>137</v>
      </c>
      <c r="R19" s="85">
        <f t="shared" si="4"/>
        <v>980</v>
      </c>
      <c r="S19" s="85">
        <f>SUM(Q19:R19)</f>
        <v>1117</v>
      </c>
      <c r="U19"/>
      <c r="V19"/>
    </row>
    <row r="20" spans="1:22" ht="12.75">
      <c r="A20" s="73" t="s">
        <v>9</v>
      </c>
      <c r="B20" s="84">
        <v>13</v>
      </c>
      <c r="C20" s="85">
        <v>53</v>
      </c>
      <c r="D20" s="85">
        <f>SUM(B20:C20)</f>
        <v>66</v>
      </c>
      <c r="E20" s="86">
        <v>2</v>
      </c>
      <c r="F20" s="90">
        <v>17</v>
      </c>
      <c r="G20" s="90">
        <f>SUM(E20:F20)</f>
        <v>19</v>
      </c>
      <c r="H20" s="86">
        <v>3</v>
      </c>
      <c r="I20" s="85">
        <v>28</v>
      </c>
      <c r="J20" s="85">
        <f>SUM(H20:I20)</f>
        <v>31</v>
      </c>
      <c r="K20" s="86">
        <v>1</v>
      </c>
      <c r="L20" s="90">
        <v>10</v>
      </c>
      <c r="M20" s="90">
        <f>SUM(K20:L20)</f>
        <v>11</v>
      </c>
      <c r="N20" s="84">
        <f t="shared" si="3"/>
        <v>16</v>
      </c>
      <c r="O20" s="85">
        <f t="shared" si="3"/>
        <v>81</v>
      </c>
      <c r="P20" s="85">
        <f>SUM(N20:O20)</f>
        <v>97</v>
      </c>
      <c r="Q20" s="86">
        <f t="shared" si="4"/>
        <v>3</v>
      </c>
      <c r="R20" s="85">
        <f t="shared" si="4"/>
        <v>27</v>
      </c>
      <c r="S20" s="85">
        <f>SUM(Q20:R20)</f>
        <v>30</v>
      </c>
      <c r="U20"/>
      <c r="V20"/>
    </row>
    <row r="21" spans="1:22" ht="12.75">
      <c r="A21" s="73" t="s">
        <v>10</v>
      </c>
      <c r="B21" s="84">
        <v>77</v>
      </c>
      <c r="C21" s="85">
        <v>354</v>
      </c>
      <c r="D21" s="85">
        <f>SUM(B21:C21)</f>
        <v>431</v>
      </c>
      <c r="E21" s="84">
        <v>16</v>
      </c>
      <c r="F21" s="85">
        <v>165</v>
      </c>
      <c r="G21" s="85">
        <f>SUM(E21:F21)</f>
        <v>181</v>
      </c>
      <c r="H21" s="84">
        <v>20</v>
      </c>
      <c r="I21" s="85">
        <v>210</v>
      </c>
      <c r="J21" s="85">
        <f>SUM(H21:I21)</f>
        <v>230</v>
      </c>
      <c r="K21" s="84">
        <v>12</v>
      </c>
      <c r="L21" s="85">
        <v>94</v>
      </c>
      <c r="M21" s="85">
        <f>SUM(K21:L21)</f>
        <v>106</v>
      </c>
      <c r="N21" s="84">
        <f t="shared" si="3"/>
        <v>97</v>
      </c>
      <c r="O21" s="85">
        <f t="shared" si="3"/>
        <v>564</v>
      </c>
      <c r="P21" s="85">
        <f>SUM(N21:O21)</f>
        <v>661</v>
      </c>
      <c r="Q21" s="84">
        <f t="shared" si="4"/>
        <v>28</v>
      </c>
      <c r="R21" s="85">
        <f t="shared" si="4"/>
        <v>259</v>
      </c>
      <c r="S21" s="85">
        <f>SUM(Q21:R21)</f>
        <v>287</v>
      </c>
      <c r="U21"/>
      <c r="V21"/>
    </row>
    <row r="22" spans="1:22" ht="12.75">
      <c r="A22" s="87" t="s">
        <v>4</v>
      </c>
      <c r="B22" s="88">
        <f aca="true" t="shared" si="5" ref="B22:S22">SUM(B18:B21)</f>
        <v>670</v>
      </c>
      <c r="C22" s="89">
        <f t="shared" si="5"/>
        <v>2566</v>
      </c>
      <c r="D22" s="89">
        <f t="shared" si="5"/>
        <v>3236</v>
      </c>
      <c r="E22" s="88">
        <f t="shared" si="5"/>
        <v>132</v>
      </c>
      <c r="F22" s="89">
        <f t="shared" si="5"/>
        <v>985</v>
      </c>
      <c r="G22" s="89">
        <f t="shared" si="5"/>
        <v>1117</v>
      </c>
      <c r="H22" s="88">
        <f t="shared" si="5"/>
        <v>188</v>
      </c>
      <c r="I22" s="89">
        <f t="shared" si="5"/>
        <v>1747</v>
      </c>
      <c r="J22" s="89">
        <f t="shared" si="5"/>
        <v>1935</v>
      </c>
      <c r="K22" s="88">
        <f t="shared" si="5"/>
        <v>86</v>
      </c>
      <c r="L22" s="89">
        <f t="shared" si="5"/>
        <v>599</v>
      </c>
      <c r="M22" s="89">
        <f t="shared" si="5"/>
        <v>685</v>
      </c>
      <c r="N22" s="88">
        <f t="shared" si="5"/>
        <v>858</v>
      </c>
      <c r="O22" s="89">
        <f t="shared" si="5"/>
        <v>4313</v>
      </c>
      <c r="P22" s="89">
        <f t="shared" si="5"/>
        <v>5171</v>
      </c>
      <c r="Q22" s="88">
        <f t="shared" si="5"/>
        <v>218</v>
      </c>
      <c r="R22" s="89">
        <f t="shared" si="5"/>
        <v>1584</v>
      </c>
      <c r="S22" s="89">
        <f t="shared" si="5"/>
        <v>1802</v>
      </c>
      <c r="U22"/>
      <c r="V22"/>
    </row>
    <row r="23" spans="1:22" ht="12.75">
      <c r="A23" s="73"/>
      <c r="B23" s="84"/>
      <c r="C23" s="85"/>
      <c r="D23" s="85"/>
      <c r="E23" s="84"/>
      <c r="F23" s="85"/>
      <c r="G23" s="85"/>
      <c r="H23" s="84"/>
      <c r="I23" s="85"/>
      <c r="J23" s="85"/>
      <c r="K23" s="84"/>
      <c r="L23" s="85"/>
      <c r="M23" s="85"/>
      <c r="N23" s="84"/>
      <c r="O23" s="85"/>
      <c r="P23" s="85"/>
      <c r="Q23" s="84"/>
      <c r="R23" s="85"/>
      <c r="S23" s="85"/>
      <c r="U23"/>
      <c r="V23"/>
    </row>
    <row r="24" spans="1:22" ht="12.75">
      <c r="A24" s="196" t="s">
        <v>12</v>
      </c>
      <c r="D24" s="197"/>
      <c r="G24" s="197"/>
      <c r="J24" s="197"/>
      <c r="M24" s="85"/>
      <c r="N24" s="84"/>
      <c r="O24" s="85"/>
      <c r="P24" s="85"/>
      <c r="Q24" s="84"/>
      <c r="R24" s="85"/>
      <c r="S24" s="85"/>
      <c r="U24"/>
      <c r="V24"/>
    </row>
    <row r="25" spans="1:22" ht="12.75">
      <c r="A25" s="73" t="s">
        <v>42</v>
      </c>
      <c r="B25" s="84">
        <f>2685-B39</f>
        <v>2660</v>
      </c>
      <c r="C25" s="85">
        <f>3876-C39</f>
        <v>3779</v>
      </c>
      <c r="D25" s="85">
        <f>SUM(B25:C25)</f>
        <v>6439</v>
      </c>
      <c r="E25" s="84">
        <f>878-E39</f>
        <v>872</v>
      </c>
      <c r="F25" s="85">
        <f>1275-F39</f>
        <v>1234</v>
      </c>
      <c r="G25" s="85">
        <f>SUM(E25:F25)</f>
        <v>2106</v>
      </c>
      <c r="H25" s="84">
        <f>575-H39</f>
        <v>572</v>
      </c>
      <c r="I25" s="85">
        <f>1748-I39</f>
        <v>1714</v>
      </c>
      <c r="J25" s="85">
        <f>SUM(H25:I25)</f>
        <v>2286</v>
      </c>
      <c r="K25" s="84">
        <f>689-K39</f>
        <v>684</v>
      </c>
      <c r="L25" s="85">
        <f>1035-L39</f>
        <v>1009</v>
      </c>
      <c r="M25" s="85">
        <f>SUM(K25:L25)</f>
        <v>1693</v>
      </c>
      <c r="N25" s="84">
        <f>SUM(B25,H25)</f>
        <v>3232</v>
      </c>
      <c r="O25" s="85">
        <f>SUM(C25,I25)</f>
        <v>5493</v>
      </c>
      <c r="P25" s="85">
        <f>SUM(N25:O25)</f>
        <v>8725</v>
      </c>
      <c r="Q25" s="84">
        <f>SUM(E25,K25)</f>
        <v>1556</v>
      </c>
      <c r="R25" s="85">
        <f>SUM(F25,L25)</f>
        <v>2243</v>
      </c>
      <c r="S25" s="85">
        <f>SUM(Q25:R25)</f>
        <v>3799</v>
      </c>
      <c r="U25"/>
      <c r="V25"/>
    </row>
    <row r="26" spans="1:22" ht="12.75">
      <c r="A26" s="73" t="s">
        <v>8</v>
      </c>
      <c r="B26" s="84">
        <f>9363-B40</f>
        <v>9269</v>
      </c>
      <c r="C26" s="85">
        <f>11552-C40</f>
        <v>11094</v>
      </c>
      <c r="D26" s="85">
        <f>SUM(B26:C26)</f>
        <v>20363</v>
      </c>
      <c r="E26" s="84">
        <f>2074-E40</f>
        <v>2052</v>
      </c>
      <c r="F26" s="85">
        <f>3210-F40</f>
        <v>3111</v>
      </c>
      <c r="G26" s="85">
        <f>SUM(E26:F26)</f>
        <v>5163</v>
      </c>
      <c r="H26" s="84">
        <f>2469-H40</f>
        <v>2448</v>
      </c>
      <c r="I26" s="85">
        <f>9959-I40</f>
        <v>9669</v>
      </c>
      <c r="J26" s="85">
        <f>SUM(H26:I26)</f>
        <v>12117</v>
      </c>
      <c r="K26" s="84">
        <f>1373-K40</f>
        <v>1352</v>
      </c>
      <c r="L26" s="85">
        <f>2938-L40</f>
        <v>2839</v>
      </c>
      <c r="M26" s="85">
        <f>SUM(K26:L26)</f>
        <v>4191</v>
      </c>
      <c r="N26" s="84">
        <f aca="true" t="shared" si="6" ref="N26:O28">SUM(B26,H26)</f>
        <v>11717</v>
      </c>
      <c r="O26" s="85">
        <f t="shared" si="6"/>
        <v>20763</v>
      </c>
      <c r="P26" s="85">
        <f>SUM(N26:O26)</f>
        <v>32480</v>
      </c>
      <c r="Q26" s="84">
        <f aca="true" t="shared" si="7" ref="Q26:R28">SUM(E26,K26)</f>
        <v>3404</v>
      </c>
      <c r="R26" s="85">
        <f t="shared" si="7"/>
        <v>5950</v>
      </c>
      <c r="S26" s="85">
        <f>SUM(Q26:R26)</f>
        <v>9354</v>
      </c>
      <c r="U26"/>
      <c r="V26"/>
    </row>
    <row r="27" spans="1:22" ht="12.75">
      <c r="A27" s="73" t="s">
        <v>9</v>
      </c>
      <c r="B27" s="84">
        <f>716-B41</f>
        <v>698</v>
      </c>
      <c r="C27" s="85">
        <f>612-C41</f>
        <v>569</v>
      </c>
      <c r="D27" s="85">
        <f>SUM(B27:C27)</f>
        <v>1267</v>
      </c>
      <c r="E27" s="84">
        <f>151-E41</f>
        <v>149</v>
      </c>
      <c r="F27" s="85">
        <f>173-F41</f>
        <v>167</v>
      </c>
      <c r="G27" s="85">
        <f>SUM(E27:F27)</f>
        <v>316</v>
      </c>
      <c r="H27" s="84">
        <f>170-H41</f>
        <v>167</v>
      </c>
      <c r="I27" s="85">
        <f>361-I41</f>
        <v>337</v>
      </c>
      <c r="J27" s="85">
        <f>SUM(H27:I27)</f>
        <v>504</v>
      </c>
      <c r="K27" s="84">
        <f>108-K41</f>
        <v>106</v>
      </c>
      <c r="L27" s="85">
        <f>138-L41</f>
        <v>132</v>
      </c>
      <c r="M27" s="85">
        <f>SUM(K27:L27)</f>
        <v>238</v>
      </c>
      <c r="N27" s="84">
        <f t="shared" si="6"/>
        <v>865</v>
      </c>
      <c r="O27" s="85">
        <f t="shared" si="6"/>
        <v>906</v>
      </c>
      <c r="P27" s="85">
        <f>SUM(N27:O27)</f>
        <v>1771</v>
      </c>
      <c r="Q27" s="84">
        <f t="shared" si="7"/>
        <v>255</v>
      </c>
      <c r="R27" s="85">
        <f t="shared" si="7"/>
        <v>299</v>
      </c>
      <c r="S27" s="85">
        <f>SUM(Q27:R27)</f>
        <v>554</v>
      </c>
      <c r="U27"/>
      <c r="V27"/>
    </row>
    <row r="28" spans="1:22" ht="12.75">
      <c r="A28" s="73" t="s">
        <v>10</v>
      </c>
      <c r="B28" s="84">
        <f>818-B42</f>
        <v>813</v>
      </c>
      <c r="C28" s="85">
        <f>842-C42</f>
        <v>831</v>
      </c>
      <c r="D28" s="85">
        <f>SUM(B28:C28)</f>
        <v>1644</v>
      </c>
      <c r="E28" s="84">
        <f>208-E42</f>
        <v>206</v>
      </c>
      <c r="F28" s="85">
        <f>232-F42</f>
        <v>229</v>
      </c>
      <c r="G28" s="85">
        <f>SUM(E28:F28)</f>
        <v>435</v>
      </c>
      <c r="H28" s="84">
        <f>205-H42</f>
        <v>205</v>
      </c>
      <c r="I28" s="85">
        <f>468-I42</f>
        <v>463</v>
      </c>
      <c r="J28" s="85">
        <f>SUM(H28:I28)</f>
        <v>668</v>
      </c>
      <c r="K28" s="84">
        <f>148-K42</f>
        <v>147</v>
      </c>
      <c r="L28" s="85">
        <f>220-L42</f>
        <v>217</v>
      </c>
      <c r="M28" s="85">
        <f>SUM(K28:L28)</f>
        <v>364</v>
      </c>
      <c r="N28" s="84">
        <f t="shared" si="6"/>
        <v>1018</v>
      </c>
      <c r="O28" s="85">
        <f t="shared" si="6"/>
        <v>1294</v>
      </c>
      <c r="P28" s="85">
        <f>SUM(N28:O28)</f>
        <v>2312</v>
      </c>
      <c r="Q28" s="84">
        <f t="shared" si="7"/>
        <v>353</v>
      </c>
      <c r="R28" s="85">
        <f t="shared" si="7"/>
        <v>446</v>
      </c>
      <c r="S28" s="85">
        <f>SUM(Q28:R28)</f>
        <v>799</v>
      </c>
      <c r="U28"/>
      <c r="V28"/>
    </row>
    <row r="29" spans="1:22" ht="12.75">
      <c r="A29" s="87" t="s">
        <v>4</v>
      </c>
      <c r="B29" s="88">
        <f>SUM(B25:B28)</f>
        <v>13440</v>
      </c>
      <c r="C29" s="89">
        <f>SUM(C25:C28)</f>
        <v>16273</v>
      </c>
      <c r="D29" s="89">
        <f aca="true" t="shared" si="8" ref="D29:S29">SUM(D25:D28)</f>
        <v>29713</v>
      </c>
      <c r="E29" s="88">
        <f>SUM(E25:E28)</f>
        <v>3279</v>
      </c>
      <c r="F29" s="89">
        <f>SUM(F25:F28)</f>
        <v>4741</v>
      </c>
      <c r="G29" s="89">
        <f t="shared" si="8"/>
        <v>8020</v>
      </c>
      <c r="H29" s="88">
        <f>SUM(H25:H28)</f>
        <v>3392</v>
      </c>
      <c r="I29" s="89">
        <f>SUM(I25:I28)</f>
        <v>12183</v>
      </c>
      <c r="J29" s="89">
        <f t="shared" si="8"/>
        <v>15575</v>
      </c>
      <c r="K29" s="88">
        <f>SUM(K25:K28)</f>
        <v>2289</v>
      </c>
      <c r="L29" s="89">
        <f>SUM(L25:L28)</f>
        <v>4197</v>
      </c>
      <c r="M29" s="89">
        <f t="shared" si="8"/>
        <v>6486</v>
      </c>
      <c r="N29" s="88">
        <f t="shared" si="8"/>
        <v>16832</v>
      </c>
      <c r="O29" s="89">
        <f t="shared" si="8"/>
        <v>28456</v>
      </c>
      <c r="P29" s="89">
        <f t="shared" si="8"/>
        <v>45288</v>
      </c>
      <c r="Q29" s="88">
        <f t="shared" si="8"/>
        <v>5568</v>
      </c>
      <c r="R29" s="89">
        <f t="shared" si="8"/>
        <v>8938</v>
      </c>
      <c r="S29" s="89">
        <f t="shared" si="8"/>
        <v>14506</v>
      </c>
      <c r="U29"/>
      <c r="V29"/>
    </row>
    <row r="30" spans="1:22" ht="12.75">
      <c r="A30" s="74"/>
      <c r="B30" s="84"/>
      <c r="C30" s="85"/>
      <c r="D30" s="85"/>
      <c r="E30" s="84"/>
      <c r="F30" s="85"/>
      <c r="G30" s="85"/>
      <c r="H30" s="84"/>
      <c r="I30" s="85"/>
      <c r="J30" s="85"/>
      <c r="K30" s="84"/>
      <c r="L30" s="85"/>
      <c r="M30" s="85"/>
      <c r="N30" s="84"/>
      <c r="O30" s="85"/>
      <c r="P30" s="85"/>
      <c r="Q30" s="84"/>
      <c r="R30" s="85"/>
      <c r="S30" s="85"/>
      <c r="U30"/>
      <c r="V30"/>
    </row>
    <row r="31" spans="1:22" ht="12.75">
      <c r="A31" s="72" t="s">
        <v>13</v>
      </c>
      <c r="B31" s="84"/>
      <c r="C31" s="85"/>
      <c r="D31" s="85"/>
      <c r="E31" s="84"/>
      <c r="F31" s="85"/>
      <c r="G31" s="85"/>
      <c r="H31" s="84"/>
      <c r="I31" s="85"/>
      <c r="J31" s="85"/>
      <c r="K31" s="84"/>
      <c r="L31" s="85"/>
      <c r="M31" s="85"/>
      <c r="N31" s="84"/>
      <c r="O31" s="85"/>
      <c r="P31" s="85"/>
      <c r="Q31" s="84"/>
      <c r="R31" s="85"/>
      <c r="S31" s="85"/>
      <c r="U31"/>
      <c r="V31"/>
    </row>
    <row r="32" spans="1:22" ht="12.75">
      <c r="A32" s="73" t="s">
        <v>42</v>
      </c>
      <c r="B32" s="84">
        <v>369</v>
      </c>
      <c r="C32" s="85">
        <v>672</v>
      </c>
      <c r="D32" s="85">
        <f>SUM(B32:C32)</f>
        <v>1041</v>
      </c>
      <c r="E32" s="84">
        <v>128</v>
      </c>
      <c r="F32" s="85">
        <v>261</v>
      </c>
      <c r="G32" s="85">
        <f>SUM(E32:F32)</f>
        <v>389</v>
      </c>
      <c r="H32" s="84">
        <v>94</v>
      </c>
      <c r="I32" s="85">
        <v>241</v>
      </c>
      <c r="J32" s="85">
        <f>SUM(H32:I32)</f>
        <v>335</v>
      </c>
      <c r="K32" s="84">
        <v>65</v>
      </c>
      <c r="L32" s="85">
        <v>143</v>
      </c>
      <c r="M32" s="85">
        <f>SUM(K32:L32)</f>
        <v>208</v>
      </c>
      <c r="N32" s="84">
        <f aca="true" t="shared" si="9" ref="N32:O35">SUM(B32,H32)</f>
        <v>463</v>
      </c>
      <c r="O32" s="85">
        <f t="shared" si="9"/>
        <v>913</v>
      </c>
      <c r="P32" s="85">
        <f>SUM(N32:O32)</f>
        <v>1376</v>
      </c>
      <c r="Q32" s="84">
        <f aca="true" t="shared" si="10" ref="Q32:R35">SUM(E32,K32)</f>
        <v>193</v>
      </c>
      <c r="R32" s="85">
        <f t="shared" si="10"/>
        <v>404</v>
      </c>
      <c r="S32" s="85">
        <f>SUM(Q32:R32)</f>
        <v>597</v>
      </c>
      <c r="U32"/>
      <c r="V32"/>
    </row>
    <row r="33" spans="1:22" ht="12.75">
      <c r="A33" s="73" t="s">
        <v>8</v>
      </c>
      <c r="B33" s="84">
        <v>961</v>
      </c>
      <c r="C33" s="85">
        <v>1604</v>
      </c>
      <c r="D33" s="85">
        <f>SUM(B33:C33)</f>
        <v>2565</v>
      </c>
      <c r="E33" s="84">
        <v>280</v>
      </c>
      <c r="F33" s="85">
        <v>570</v>
      </c>
      <c r="G33" s="85">
        <f>SUM(E33:F33)</f>
        <v>850</v>
      </c>
      <c r="H33" s="84">
        <v>200</v>
      </c>
      <c r="I33" s="85">
        <v>752</v>
      </c>
      <c r="J33" s="85">
        <f>SUM(H33:I33)</f>
        <v>952</v>
      </c>
      <c r="K33" s="84">
        <v>109</v>
      </c>
      <c r="L33" s="85">
        <v>330</v>
      </c>
      <c r="M33" s="85">
        <f>SUM(K33:L33)</f>
        <v>439</v>
      </c>
      <c r="N33" s="84">
        <f t="shared" si="9"/>
        <v>1161</v>
      </c>
      <c r="O33" s="85">
        <f t="shared" si="9"/>
        <v>2356</v>
      </c>
      <c r="P33" s="85">
        <f>SUM(N33:O33)</f>
        <v>3517</v>
      </c>
      <c r="Q33" s="84">
        <f t="shared" si="10"/>
        <v>389</v>
      </c>
      <c r="R33" s="85">
        <f t="shared" si="10"/>
        <v>900</v>
      </c>
      <c r="S33" s="85">
        <f>SUM(Q33:R33)</f>
        <v>1289</v>
      </c>
      <c r="U33"/>
      <c r="V33"/>
    </row>
    <row r="34" spans="1:22" ht="12.75">
      <c r="A34" s="73" t="s">
        <v>9</v>
      </c>
      <c r="B34" s="84">
        <v>30</v>
      </c>
      <c r="C34" s="85">
        <v>30</v>
      </c>
      <c r="D34" s="85">
        <f>SUM(B34:C34)</f>
        <v>60</v>
      </c>
      <c r="E34" s="84">
        <v>12</v>
      </c>
      <c r="F34" s="85">
        <v>7</v>
      </c>
      <c r="G34" s="85">
        <f>SUM(E34:F34)</f>
        <v>19</v>
      </c>
      <c r="H34" s="84">
        <v>8</v>
      </c>
      <c r="I34" s="85">
        <v>22</v>
      </c>
      <c r="J34" s="85">
        <f>SUM(H34:I34)</f>
        <v>30</v>
      </c>
      <c r="K34" s="86">
        <v>6</v>
      </c>
      <c r="L34" s="85">
        <v>12</v>
      </c>
      <c r="M34" s="85">
        <f>SUM(K34:L34)</f>
        <v>18</v>
      </c>
      <c r="N34" s="84">
        <f t="shared" si="9"/>
        <v>38</v>
      </c>
      <c r="O34" s="85">
        <f t="shared" si="9"/>
        <v>52</v>
      </c>
      <c r="P34" s="85">
        <f>SUM(N34:O34)</f>
        <v>90</v>
      </c>
      <c r="Q34" s="84">
        <f t="shared" si="10"/>
        <v>18</v>
      </c>
      <c r="R34" s="85">
        <f t="shared" si="10"/>
        <v>19</v>
      </c>
      <c r="S34" s="85">
        <f>SUM(Q34:R34)</f>
        <v>37</v>
      </c>
      <c r="U34"/>
      <c r="V34"/>
    </row>
    <row r="35" spans="1:22" ht="12.75">
      <c r="A35" s="73" t="s">
        <v>10</v>
      </c>
      <c r="B35" s="84">
        <v>186</v>
      </c>
      <c r="C35" s="85">
        <v>298</v>
      </c>
      <c r="D35" s="85">
        <f>SUM(B35:C35)</f>
        <v>484</v>
      </c>
      <c r="E35" s="84">
        <v>42</v>
      </c>
      <c r="F35" s="85">
        <v>98</v>
      </c>
      <c r="G35" s="85">
        <f>SUM(E35:F35)</f>
        <v>140</v>
      </c>
      <c r="H35" s="84">
        <v>45</v>
      </c>
      <c r="I35" s="85">
        <v>112</v>
      </c>
      <c r="J35" s="85">
        <f>SUM(H35:I35)</f>
        <v>157</v>
      </c>
      <c r="K35" s="84">
        <v>29</v>
      </c>
      <c r="L35" s="85">
        <v>78</v>
      </c>
      <c r="M35" s="85">
        <f>SUM(K35:L35)</f>
        <v>107</v>
      </c>
      <c r="N35" s="84">
        <f t="shared" si="9"/>
        <v>231</v>
      </c>
      <c r="O35" s="85">
        <f t="shared" si="9"/>
        <v>410</v>
      </c>
      <c r="P35" s="85">
        <f>SUM(N35:O35)</f>
        <v>641</v>
      </c>
      <c r="Q35" s="84">
        <f t="shared" si="10"/>
        <v>71</v>
      </c>
      <c r="R35" s="85">
        <f t="shared" si="10"/>
        <v>176</v>
      </c>
      <c r="S35" s="85">
        <f>SUM(Q35:R35)</f>
        <v>247</v>
      </c>
      <c r="U35"/>
      <c r="V35"/>
    </row>
    <row r="36" spans="1:22" ht="12.75">
      <c r="A36" s="87" t="s">
        <v>4</v>
      </c>
      <c r="B36" s="88">
        <f aca="true" t="shared" si="11" ref="B36:S36">SUM(B32:B35)</f>
        <v>1546</v>
      </c>
      <c r="C36" s="89">
        <f t="shared" si="11"/>
        <v>2604</v>
      </c>
      <c r="D36" s="89">
        <f t="shared" si="11"/>
        <v>4150</v>
      </c>
      <c r="E36" s="88">
        <f t="shared" si="11"/>
        <v>462</v>
      </c>
      <c r="F36" s="89">
        <f t="shared" si="11"/>
        <v>936</v>
      </c>
      <c r="G36" s="89">
        <f t="shared" si="11"/>
        <v>1398</v>
      </c>
      <c r="H36" s="88">
        <f t="shared" si="11"/>
        <v>347</v>
      </c>
      <c r="I36" s="89">
        <f t="shared" si="11"/>
        <v>1127</v>
      </c>
      <c r="J36" s="89">
        <f t="shared" si="11"/>
        <v>1474</v>
      </c>
      <c r="K36" s="88">
        <f t="shared" si="11"/>
        <v>209</v>
      </c>
      <c r="L36" s="89">
        <f t="shared" si="11"/>
        <v>563</v>
      </c>
      <c r="M36" s="89">
        <f t="shared" si="11"/>
        <v>772</v>
      </c>
      <c r="N36" s="88">
        <f t="shared" si="11"/>
        <v>1893</v>
      </c>
      <c r="O36" s="89">
        <f t="shared" si="11"/>
        <v>3731</v>
      </c>
      <c r="P36" s="89">
        <f t="shared" si="11"/>
        <v>5624</v>
      </c>
      <c r="Q36" s="88">
        <f t="shared" si="11"/>
        <v>671</v>
      </c>
      <c r="R36" s="89">
        <f t="shared" si="11"/>
        <v>1499</v>
      </c>
      <c r="S36" s="89">
        <f t="shared" si="11"/>
        <v>2170</v>
      </c>
      <c r="U36"/>
      <c r="V36"/>
    </row>
    <row r="37" spans="1:22" ht="12.75">
      <c r="A37" s="87"/>
      <c r="B37" s="91"/>
      <c r="C37" s="92"/>
      <c r="D37" s="92"/>
      <c r="E37" s="91"/>
      <c r="F37" s="92"/>
      <c r="G37" s="92"/>
      <c r="H37" s="91"/>
      <c r="I37" s="92"/>
      <c r="J37" s="92"/>
      <c r="K37" s="91"/>
      <c r="L37" s="92"/>
      <c r="M37" s="92"/>
      <c r="N37" s="91"/>
      <c r="O37" s="92"/>
      <c r="P37" s="92"/>
      <c r="Q37" s="91"/>
      <c r="R37" s="92"/>
      <c r="S37" s="92"/>
      <c r="U37"/>
      <c r="V37"/>
    </row>
    <row r="38" spans="1:22" ht="12.75">
      <c r="A38" s="72" t="s">
        <v>120</v>
      </c>
      <c r="B38" s="84"/>
      <c r="C38" s="85"/>
      <c r="D38" s="85"/>
      <c r="E38" s="84"/>
      <c r="F38" s="85"/>
      <c r="G38" s="85"/>
      <c r="H38" s="84"/>
      <c r="I38" s="85"/>
      <c r="J38" s="85"/>
      <c r="K38" s="84"/>
      <c r="L38" s="85"/>
      <c r="M38" s="85"/>
      <c r="N38" s="84"/>
      <c r="O38" s="85"/>
      <c r="P38" s="85"/>
      <c r="Q38" s="84"/>
      <c r="R38" s="85"/>
      <c r="S38" s="85"/>
      <c r="U38"/>
      <c r="V38"/>
    </row>
    <row r="39" spans="1:22" ht="12.75">
      <c r="A39" s="73" t="s">
        <v>42</v>
      </c>
      <c r="B39" s="84">
        <v>25</v>
      </c>
      <c r="C39" s="85">
        <v>97</v>
      </c>
      <c r="D39" s="85">
        <f>SUM(B39:C39)</f>
        <v>122</v>
      </c>
      <c r="E39" s="84">
        <v>6</v>
      </c>
      <c r="F39" s="85">
        <v>41</v>
      </c>
      <c r="G39" s="85">
        <f>SUM(E39:F39)</f>
        <v>47</v>
      </c>
      <c r="H39" s="84">
        <v>3</v>
      </c>
      <c r="I39" s="85">
        <v>34</v>
      </c>
      <c r="J39" s="85">
        <f>SUM(H39:I39)</f>
        <v>37</v>
      </c>
      <c r="K39" s="84">
        <v>5</v>
      </c>
      <c r="L39" s="85">
        <v>26</v>
      </c>
      <c r="M39" s="85">
        <f>SUM(K39:L39)</f>
        <v>31</v>
      </c>
      <c r="N39" s="84">
        <f aca="true" t="shared" si="12" ref="N39:O42">SUM(B39,H39)</f>
        <v>28</v>
      </c>
      <c r="O39" s="85">
        <f t="shared" si="12"/>
        <v>131</v>
      </c>
      <c r="P39" s="85">
        <f>SUM(N39:O39)</f>
        <v>159</v>
      </c>
      <c r="Q39" s="84">
        <f aca="true" t="shared" si="13" ref="Q39:R42">SUM(E39,K39)</f>
        <v>11</v>
      </c>
      <c r="R39" s="85">
        <f t="shared" si="13"/>
        <v>67</v>
      </c>
      <c r="S39" s="85">
        <f>SUM(Q39:R39)</f>
        <v>78</v>
      </c>
      <c r="U39"/>
      <c r="V39"/>
    </row>
    <row r="40" spans="1:22" ht="12.75">
      <c r="A40" s="73" t="s">
        <v>8</v>
      </c>
      <c r="B40" s="84">
        <v>94</v>
      </c>
      <c r="C40" s="85">
        <v>458</v>
      </c>
      <c r="D40" s="85">
        <f>SUM(B40:C40)</f>
        <v>552</v>
      </c>
      <c r="E40" s="84">
        <v>22</v>
      </c>
      <c r="F40" s="85">
        <v>99</v>
      </c>
      <c r="G40" s="85">
        <f>SUM(E40:F40)</f>
        <v>121</v>
      </c>
      <c r="H40" s="84">
        <v>21</v>
      </c>
      <c r="I40" s="85">
        <v>290</v>
      </c>
      <c r="J40" s="85">
        <f>SUM(H40:I40)</f>
        <v>311</v>
      </c>
      <c r="K40" s="84">
        <v>21</v>
      </c>
      <c r="L40" s="85">
        <v>99</v>
      </c>
      <c r="M40" s="85">
        <f>SUM(K40:L40)</f>
        <v>120</v>
      </c>
      <c r="N40" s="84">
        <f t="shared" si="12"/>
        <v>115</v>
      </c>
      <c r="O40" s="85">
        <f t="shared" si="12"/>
        <v>748</v>
      </c>
      <c r="P40" s="85">
        <f>SUM(N40:O40)</f>
        <v>863</v>
      </c>
      <c r="Q40" s="84">
        <f t="shared" si="13"/>
        <v>43</v>
      </c>
      <c r="R40" s="85">
        <f t="shared" si="13"/>
        <v>198</v>
      </c>
      <c r="S40" s="85">
        <f>SUM(Q40:R40)</f>
        <v>241</v>
      </c>
      <c r="U40"/>
      <c r="V40"/>
    </row>
    <row r="41" spans="1:22" ht="12.75">
      <c r="A41" s="73" t="s">
        <v>9</v>
      </c>
      <c r="B41" s="84">
        <v>18</v>
      </c>
      <c r="C41" s="85">
        <v>43</v>
      </c>
      <c r="D41" s="85">
        <f>SUM(B41:C41)</f>
        <v>61</v>
      </c>
      <c r="E41" s="84">
        <v>2</v>
      </c>
      <c r="F41" s="85">
        <v>6</v>
      </c>
      <c r="G41" s="85">
        <f>SUM(E41:F41)</f>
        <v>8</v>
      </c>
      <c r="H41" s="84">
        <v>3</v>
      </c>
      <c r="I41" s="85">
        <v>24</v>
      </c>
      <c r="J41" s="85">
        <f>SUM(H41:I41)</f>
        <v>27</v>
      </c>
      <c r="K41" s="86">
        <v>2</v>
      </c>
      <c r="L41" s="85">
        <v>6</v>
      </c>
      <c r="M41" s="85">
        <f>SUM(K41:L41)</f>
        <v>8</v>
      </c>
      <c r="N41" s="84">
        <f t="shared" si="12"/>
        <v>21</v>
      </c>
      <c r="O41" s="85">
        <f t="shared" si="12"/>
        <v>67</v>
      </c>
      <c r="P41" s="85">
        <f>SUM(N41:O41)</f>
        <v>88</v>
      </c>
      <c r="Q41" s="84">
        <f t="shared" si="13"/>
        <v>4</v>
      </c>
      <c r="R41" s="85">
        <f t="shared" si="13"/>
        <v>12</v>
      </c>
      <c r="S41" s="85">
        <f>SUM(Q41:R41)</f>
        <v>16</v>
      </c>
      <c r="U41"/>
      <c r="V41"/>
    </row>
    <row r="42" spans="1:22" ht="12.75">
      <c r="A42" s="73" t="s">
        <v>10</v>
      </c>
      <c r="B42" s="84">
        <v>5</v>
      </c>
      <c r="C42" s="85">
        <v>11</v>
      </c>
      <c r="D42" s="85">
        <f>SUM(B42:C42)</f>
        <v>16</v>
      </c>
      <c r="E42" s="84">
        <v>2</v>
      </c>
      <c r="F42" s="85">
        <v>3</v>
      </c>
      <c r="G42" s="85">
        <f>SUM(E42:F42)</f>
        <v>5</v>
      </c>
      <c r="H42" s="84">
        <v>0</v>
      </c>
      <c r="I42" s="85">
        <v>5</v>
      </c>
      <c r="J42" s="85">
        <f>SUM(H42:I42)</f>
        <v>5</v>
      </c>
      <c r="K42" s="84">
        <v>1</v>
      </c>
      <c r="L42" s="85">
        <v>3</v>
      </c>
      <c r="M42" s="85">
        <f>SUM(K42:L42)</f>
        <v>4</v>
      </c>
      <c r="N42" s="84">
        <f t="shared" si="12"/>
        <v>5</v>
      </c>
      <c r="O42" s="85">
        <f t="shared" si="12"/>
        <v>16</v>
      </c>
      <c r="P42" s="85">
        <f>SUM(N42:O42)</f>
        <v>21</v>
      </c>
      <c r="Q42" s="84">
        <f t="shared" si="13"/>
        <v>3</v>
      </c>
      <c r="R42" s="85">
        <f t="shared" si="13"/>
        <v>6</v>
      </c>
      <c r="S42" s="85">
        <f>SUM(Q42:R42)</f>
        <v>9</v>
      </c>
      <c r="U42"/>
      <c r="V42"/>
    </row>
    <row r="43" spans="1:22" ht="12.75">
      <c r="A43" s="87" t="s">
        <v>4</v>
      </c>
      <c r="B43" s="88">
        <f aca="true" t="shared" si="14" ref="B43:S43">SUM(B39:B42)</f>
        <v>142</v>
      </c>
      <c r="C43" s="89">
        <f t="shared" si="14"/>
        <v>609</v>
      </c>
      <c r="D43" s="89">
        <f t="shared" si="14"/>
        <v>751</v>
      </c>
      <c r="E43" s="88">
        <f t="shared" si="14"/>
        <v>32</v>
      </c>
      <c r="F43" s="89">
        <f t="shared" si="14"/>
        <v>149</v>
      </c>
      <c r="G43" s="89">
        <f t="shared" si="14"/>
        <v>181</v>
      </c>
      <c r="H43" s="88">
        <f t="shared" si="14"/>
        <v>27</v>
      </c>
      <c r="I43" s="89">
        <f t="shared" si="14"/>
        <v>353</v>
      </c>
      <c r="J43" s="89">
        <f t="shared" si="14"/>
        <v>380</v>
      </c>
      <c r="K43" s="88">
        <f t="shared" si="14"/>
        <v>29</v>
      </c>
      <c r="L43" s="89">
        <f t="shared" si="14"/>
        <v>134</v>
      </c>
      <c r="M43" s="89">
        <f t="shared" si="14"/>
        <v>163</v>
      </c>
      <c r="N43" s="88">
        <f t="shared" si="14"/>
        <v>169</v>
      </c>
      <c r="O43" s="89">
        <f t="shared" si="14"/>
        <v>962</v>
      </c>
      <c r="P43" s="89">
        <f t="shared" si="14"/>
        <v>1131</v>
      </c>
      <c r="Q43" s="88">
        <f t="shared" si="14"/>
        <v>61</v>
      </c>
      <c r="R43" s="89">
        <f t="shared" si="14"/>
        <v>283</v>
      </c>
      <c r="S43" s="89">
        <f t="shared" si="14"/>
        <v>344</v>
      </c>
      <c r="U43"/>
      <c r="V43"/>
    </row>
    <row r="44" spans="1:22" ht="12.75">
      <c r="A44" s="73"/>
      <c r="B44" s="84"/>
      <c r="C44" s="85"/>
      <c r="D44" s="161"/>
      <c r="E44" s="84"/>
      <c r="F44" s="85"/>
      <c r="G44" s="85"/>
      <c r="H44" s="84"/>
      <c r="I44" s="85"/>
      <c r="J44" s="85"/>
      <c r="K44" s="84"/>
      <c r="L44" s="85"/>
      <c r="M44" s="85"/>
      <c r="N44" s="84"/>
      <c r="O44" s="85"/>
      <c r="P44" s="85"/>
      <c r="Q44" s="84"/>
      <c r="R44" s="85"/>
      <c r="S44" s="85"/>
      <c r="U44"/>
      <c r="V44"/>
    </row>
    <row r="45" spans="1:22" ht="12.75">
      <c r="A45" s="72" t="s">
        <v>14</v>
      </c>
      <c r="B45" s="84"/>
      <c r="C45" s="85"/>
      <c r="D45" s="161"/>
      <c r="E45" s="84"/>
      <c r="F45" s="85"/>
      <c r="G45" s="85"/>
      <c r="H45" s="84"/>
      <c r="I45" s="85"/>
      <c r="J45" s="85"/>
      <c r="K45" s="84"/>
      <c r="L45" s="85"/>
      <c r="M45" s="85"/>
      <c r="N45" s="84"/>
      <c r="O45" s="85"/>
      <c r="P45" s="85"/>
      <c r="Q45" s="84"/>
      <c r="R45" s="85"/>
      <c r="S45" s="85"/>
      <c r="U45"/>
      <c r="V45"/>
    </row>
    <row r="46" spans="1:22" ht="12.75">
      <c r="A46" s="87" t="s">
        <v>4</v>
      </c>
      <c r="B46" s="91">
        <f>1255+10</f>
        <v>1265</v>
      </c>
      <c r="C46" s="92">
        <f>1278+6</f>
        <v>1284</v>
      </c>
      <c r="D46" s="92">
        <f>SUM(B46,C46)</f>
        <v>2549</v>
      </c>
      <c r="E46" s="91">
        <v>595</v>
      </c>
      <c r="F46" s="92">
        <f>722+1</f>
        <v>723</v>
      </c>
      <c r="G46" s="92">
        <f>SUM(E46:F46)</f>
        <v>1318</v>
      </c>
      <c r="H46" s="91">
        <f>599+11</f>
        <v>610</v>
      </c>
      <c r="I46" s="92">
        <f>1365+26</f>
        <v>1391</v>
      </c>
      <c r="J46" s="92">
        <f>SUM(H46:I46)</f>
        <v>2001</v>
      </c>
      <c r="K46" s="91">
        <v>1260</v>
      </c>
      <c r="L46" s="92">
        <v>1456</v>
      </c>
      <c r="M46" s="92">
        <f>SUM(K46:L46)</f>
        <v>2716</v>
      </c>
      <c r="N46" s="91">
        <f>SUM(B46,H46)</f>
        <v>1875</v>
      </c>
      <c r="O46" s="92">
        <f>SUM(C46,I46)</f>
        <v>2675</v>
      </c>
      <c r="P46" s="92">
        <f>SUM(N46:O46)</f>
        <v>4550</v>
      </c>
      <c r="Q46" s="91">
        <f>SUM(E46,K46)</f>
        <v>1855</v>
      </c>
      <c r="R46" s="92">
        <f>SUM(F46,L46)</f>
        <v>2179</v>
      </c>
      <c r="S46" s="92">
        <f>SUM(Q46:R46)</f>
        <v>4034</v>
      </c>
      <c r="U46"/>
      <c r="V46"/>
    </row>
    <row r="47" spans="1:22" ht="12.75">
      <c r="A47" s="73"/>
      <c r="B47" s="84"/>
      <c r="C47" s="85"/>
      <c r="D47" s="85"/>
      <c r="E47" s="84"/>
      <c r="F47" s="85"/>
      <c r="G47" s="85"/>
      <c r="H47" s="84"/>
      <c r="I47" s="85"/>
      <c r="J47" s="85"/>
      <c r="K47" s="84"/>
      <c r="L47" s="85"/>
      <c r="M47" s="85"/>
      <c r="N47" s="84"/>
      <c r="O47" s="85"/>
      <c r="P47" s="85"/>
      <c r="Q47" s="84"/>
      <c r="R47" s="85"/>
      <c r="S47" s="85"/>
      <c r="U47"/>
      <c r="V47"/>
    </row>
    <row r="48" spans="1:22" ht="12.75">
      <c r="A48" s="72" t="s">
        <v>48</v>
      </c>
      <c r="B48" s="84"/>
      <c r="C48" s="85"/>
      <c r="D48" s="161"/>
      <c r="E48" s="84"/>
      <c r="F48" s="85"/>
      <c r="G48" s="85"/>
      <c r="H48" s="84"/>
      <c r="I48" s="85"/>
      <c r="J48" s="85"/>
      <c r="K48" s="84"/>
      <c r="L48" s="85"/>
      <c r="M48" s="85"/>
      <c r="N48" s="84"/>
      <c r="O48" s="85"/>
      <c r="P48" s="85"/>
      <c r="Q48" s="84"/>
      <c r="R48" s="85"/>
      <c r="S48" s="85"/>
      <c r="U48"/>
      <c r="V48"/>
    </row>
    <row r="49" spans="1:22" ht="12.75">
      <c r="A49" s="87" t="s">
        <v>4</v>
      </c>
      <c r="B49" s="91">
        <f>61</f>
        <v>61</v>
      </c>
      <c r="C49" s="92">
        <f>144</f>
        <v>144</v>
      </c>
      <c r="D49" s="92">
        <f>SUM(B49,C49)</f>
        <v>205</v>
      </c>
      <c r="E49" s="91">
        <v>49</v>
      </c>
      <c r="F49" s="92">
        <f>164</f>
        <v>164</v>
      </c>
      <c r="G49" s="92">
        <f>SUM(E49:F49)</f>
        <v>213</v>
      </c>
      <c r="H49" s="91">
        <f>53</f>
        <v>53</v>
      </c>
      <c r="I49" s="92">
        <v>423</v>
      </c>
      <c r="J49" s="92">
        <f>SUM(H49:I49)</f>
        <v>476</v>
      </c>
      <c r="K49" s="91">
        <v>24</v>
      </c>
      <c r="L49" s="92">
        <v>314</v>
      </c>
      <c r="M49" s="92">
        <f>SUM(K49:L49)</f>
        <v>338</v>
      </c>
      <c r="N49" s="91">
        <f>SUM(B49,H49)</f>
        <v>114</v>
      </c>
      <c r="O49" s="92">
        <f>SUM(C49,I49)</f>
        <v>567</v>
      </c>
      <c r="P49" s="92">
        <f>SUM(N49:O49)</f>
        <v>681</v>
      </c>
      <c r="Q49" s="91">
        <f>SUM(E49,K49)</f>
        <v>73</v>
      </c>
      <c r="R49" s="92">
        <f>SUM(F49,L49)</f>
        <v>478</v>
      </c>
      <c r="S49" s="92">
        <f>SUM(Q49:R49)</f>
        <v>551</v>
      </c>
      <c r="U49"/>
      <c r="V49"/>
    </row>
    <row r="50" spans="1:22" ht="12.75">
      <c r="A50" s="73"/>
      <c r="B50" s="84"/>
      <c r="C50" s="85"/>
      <c r="D50" s="85"/>
      <c r="E50" s="84"/>
      <c r="F50" s="85"/>
      <c r="G50" s="85"/>
      <c r="H50" s="84"/>
      <c r="I50" s="85"/>
      <c r="J50" s="85"/>
      <c r="K50" s="84"/>
      <c r="L50" s="85"/>
      <c r="M50" s="85"/>
      <c r="N50" s="84"/>
      <c r="O50" s="85"/>
      <c r="P50" s="85"/>
      <c r="Q50" s="84"/>
      <c r="R50" s="85"/>
      <c r="S50" s="85"/>
      <c r="U50"/>
      <c r="V50"/>
    </row>
    <row r="51" spans="1:22" ht="12.75">
      <c r="A51" s="1" t="s">
        <v>45</v>
      </c>
      <c r="B51" s="84"/>
      <c r="C51" s="85"/>
      <c r="D51" s="85"/>
      <c r="E51" s="84"/>
      <c r="F51" s="85"/>
      <c r="G51" s="85"/>
      <c r="H51" s="84"/>
      <c r="I51" s="85"/>
      <c r="J51" s="85"/>
      <c r="K51" s="84"/>
      <c r="L51" s="85"/>
      <c r="M51" s="85"/>
      <c r="N51" s="84"/>
      <c r="O51" s="85"/>
      <c r="P51" s="85"/>
      <c r="Q51" s="84"/>
      <c r="R51" s="85"/>
      <c r="S51" s="85"/>
      <c r="U51"/>
      <c r="V51"/>
    </row>
    <row r="52" spans="1:22" ht="12.75">
      <c r="A52" s="73" t="s">
        <v>42</v>
      </c>
      <c r="B52" s="84">
        <v>230</v>
      </c>
      <c r="C52" s="90">
        <v>323</v>
      </c>
      <c r="D52" s="85">
        <f>SUM(B52:C52)</f>
        <v>553</v>
      </c>
      <c r="E52" s="84">
        <v>68</v>
      </c>
      <c r="F52" s="85">
        <v>133</v>
      </c>
      <c r="G52" s="85">
        <f>SUM(E52:F52)</f>
        <v>201</v>
      </c>
      <c r="H52" s="84">
        <v>160</v>
      </c>
      <c r="I52" s="85">
        <v>483</v>
      </c>
      <c r="J52" s="85">
        <f>SUM(H52:I52)</f>
        <v>643</v>
      </c>
      <c r="K52" s="84">
        <v>257</v>
      </c>
      <c r="L52" s="85">
        <v>440</v>
      </c>
      <c r="M52" s="85">
        <f>SUM(K52:L52)</f>
        <v>697</v>
      </c>
      <c r="N52" s="84">
        <f aca="true" t="shared" si="15" ref="N52:O55">SUM(B52,H52)</f>
        <v>390</v>
      </c>
      <c r="O52" s="85">
        <f t="shared" si="15"/>
        <v>806</v>
      </c>
      <c r="P52" s="85">
        <f>SUM(N52:O52)</f>
        <v>1196</v>
      </c>
      <c r="Q52" s="84">
        <f aca="true" t="shared" si="16" ref="Q52:R55">SUM(E52,K52)</f>
        <v>325</v>
      </c>
      <c r="R52" s="85">
        <f t="shared" si="16"/>
        <v>573</v>
      </c>
      <c r="S52" s="85">
        <f>SUM(Q52:R52)</f>
        <v>898</v>
      </c>
      <c r="U52"/>
      <c r="V52"/>
    </row>
    <row r="53" spans="1:22" ht="12.75">
      <c r="A53" s="73" t="s">
        <v>8</v>
      </c>
      <c r="B53" s="84">
        <v>182</v>
      </c>
      <c r="C53" s="85">
        <v>376</v>
      </c>
      <c r="D53" s="85">
        <f>SUM(B53:C53)</f>
        <v>558</v>
      </c>
      <c r="E53" s="84">
        <v>59</v>
      </c>
      <c r="F53" s="85">
        <v>140</v>
      </c>
      <c r="G53" s="85">
        <f>SUM(E53:F53)</f>
        <v>199</v>
      </c>
      <c r="H53" s="84">
        <v>188</v>
      </c>
      <c r="I53" s="85">
        <v>601</v>
      </c>
      <c r="J53" s="85">
        <f>SUM(H53:I53)</f>
        <v>789</v>
      </c>
      <c r="K53" s="84">
        <v>352</v>
      </c>
      <c r="L53" s="85">
        <v>563</v>
      </c>
      <c r="M53" s="85">
        <f>SUM(K53:L53)</f>
        <v>915</v>
      </c>
      <c r="N53" s="84">
        <f t="shared" si="15"/>
        <v>370</v>
      </c>
      <c r="O53" s="85">
        <f t="shared" si="15"/>
        <v>977</v>
      </c>
      <c r="P53" s="85">
        <f>SUM(N53:O53)</f>
        <v>1347</v>
      </c>
      <c r="Q53" s="84">
        <f t="shared" si="16"/>
        <v>411</v>
      </c>
      <c r="R53" s="85">
        <f t="shared" si="16"/>
        <v>703</v>
      </c>
      <c r="S53" s="85">
        <f>SUM(Q53:R53)</f>
        <v>1114</v>
      </c>
      <c r="U53"/>
      <c r="V53"/>
    </row>
    <row r="54" spans="1:22" ht="12.75">
      <c r="A54" s="73" t="s">
        <v>9</v>
      </c>
      <c r="B54" s="84">
        <v>87</v>
      </c>
      <c r="C54" s="85">
        <v>117</v>
      </c>
      <c r="D54" s="85">
        <f>SUM(B54:C54)</f>
        <v>204</v>
      </c>
      <c r="E54" s="86">
        <v>21</v>
      </c>
      <c r="F54" s="85">
        <v>30</v>
      </c>
      <c r="G54" s="85">
        <f>SUM(E54:F54)</f>
        <v>51</v>
      </c>
      <c r="H54" s="84">
        <v>62</v>
      </c>
      <c r="I54" s="85">
        <v>188</v>
      </c>
      <c r="J54" s="85">
        <f>SUM(H54:I54)</f>
        <v>250</v>
      </c>
      <c r="K54" s="84">
        <v>91</v>
      </c>
      <c r="L54" s="85">
        <v>115</v>
      </c>
      <c r="M54" s="85">
        <f>SUM(K54:L54)</f>
        <v>206</v>
      </c>
      <c r="N54" s="84">
        <f t="shared" si="15"/>
        <v>149</v>
      </c>
      <c r="O54" s="85">
        <f t="shared" si="15"/>
        <v>305</v>
      </c>
      <c r="P54" s="85">
        <f>SUM(N54:O54)</f>
        <v>454</v>
      </c>
      <c r="Q54" s="84">
        <f t="shared" si="16"/>
        <v>112</v>
      </c>
      <c r="R54" s="85">
        <f t="shared" si="16"/>
        <v>145</v>
      </c>
      <c r="S54" s="85">
        <f>SUM(Q54:R54)</f>
        <v>257</v>
      </c>
      <c r="U54"/>
      <c r="V54"/>
    </row>
    <row r="55" spans="1:22" ht="12.75">
      <c r="A55" s="73" t="s">
        <v>10</v>
      </c>
      <c r="B55" s="84">
        <v>103</v>
      </c>
      <c r="C55" s="85">
        <v>161</v>
      </c>
      <c r="D55" s="85">
        <f>SUM(B55:C55)</f>
        <v>264</v>
      </c>
      <c r="E55" s="84">
        <v>39</v>
      </c>
      <c r="F55" s="85">
        <v>69</v>
      </c>
      <c r="G55" s="85">
        <f>SUM(E55:F55)</f>
        <v>108</v>
      </c>
      <c r="H55" s="84">
        <v>51</v>
      </c>
      <c r="I55" s="85">
        <v>218</v>
      </c>
      <c r="J55" s="85">
        <f>SUM(H55:I55)</f>
        <v>269</v>
      </c>
      <c r="K55" s="84">
        <v>76</v>
      </c>
      <c r="L55" s="85">
        <v>163</v>
      </c>
      <c r="M55" s="85">
        <f>SUM(K55:L55)</f>
        <v>239</v>
      </c>
      <c r="N55" s="84">
        <f t="shared" si="15"/>
        <v>154</v>
      </c>
      <c r="O55" s="85">
        <f t="shared" si="15"/>
        <v>379</v>
      </c>
      <c r="P55" s="85">
        <f>SUM(N55:O55)</f>
        <v>533</v>
      </c>
      <c r="Q55" s="84">
        <f t="shared" si="16"/>
        <v>115</v>
      </c>
      <c r="R55" s="85">
        <f t="shared" si="16"/>
        <v>232</v>
      </c>
      <c r="S55" s="85">
        <f>SUM(Q55:R55)</f>
        <v>347</v>
      </c>
      <c r="U55"/>
      <c r="V55"/>
    </row>
    <row r="56" spans="1:22" ht="12.75">
      <c r="A56" s="87" t="s">
        <v>4</v>
      </c>
      <c r="B56" s="88">
        <f aca="true" t="shared" si="17" ref="B56:S56">SUM(B52:B55)</f>
        <v>602</v>
      </c>
      <c r="C56" s="89">
        <f t="shared" si="17"/>
        <v>977</v>
      </c>
      <c r="D56" s="89">
        <f t="shared" si="17"/>
        <v>1579</v>
      </c>
      <c r="E56" s="88">
        <f t="shared" si="17"/>
        <v>187</v>
      </c>
      <c r="F56" s="89">
        <f t="shared" si="17"/>
        <v>372</v>
      </c>
      <c r="G56" s="89">
        <f t="shared" si="17"/>
        <v>559</v>
      </c>
      <c r="H56" s="88">
        <f t="shared" si="17"/>
        <v>461</v>
      </c>
      <c r="I56" s="89">
        <f t="shared" si="17"/>
        <v>1490</v>
      </c>
      <c r="J56" s="89">
        <f t="shared" si="17"/>
        <v>1951</v>
      </c>
      <c r="K56" s="88">
        <f t="shared" si="17"/>
        <v>776</v>
      </c>
      <c r="L56" s="89">
        <f t="shared" si="17"/>
        <v>1281</v>
      </c>
      <c r="M56" s="89">
        <f t="shared" si="17"/>
        <v>2057</v>
      </c>
      <c r="N56" s="88">
        <f t="shared" si="17"/>
        <v>1063</v>
      </c>
      <c r="O56" s="89">
        <f t="shared" si="17"/>
        <v>2467</v>
      </c>
      <c r="P56" s="89">
        <f t="shared" si="17"/>
        <v>3530</v>
      </c>
      <c r="Q56" s="88">
        <f t="shared" si="17"/>
        <v>963</v>
      </c>
      <c r="R56" s="89">
        <f t="shared" si="17"/>
        <v>1653</v>
      </c>
      <c r="S56" s="89">
        <f t="shared" si="17"/>
        <v>2616</v>
      </c>
      <c r="U56"/>
      <c r="V56"/>
    </row>
    <row r="57" spans="1:22" ht="12.75">
      <c r="A57" s="73"/>
      <c r="B57" s="84"/>
      <c r="C57" s="85"/>
      <c r="D57" s="85"/>
      <c r="E57" s="84"/>
      <c r="F57" s="85"/>
      <c r="G57" s="85"/>
      <c r="H57" s="84"/>
      <c r="I57" s="85"/>
      <c r="J57" s="85"/>
      <c r="K57" s="84"/>
      <c r="L57" s="85"/>
      <c r="M57" s="85"/>
      <c r="N57" s="84"/>
      <c r="O57" s="85"/>
      <c r="P57" s="85"/>
      <c r="Q57" s="84"/>
      <c r="R57" s="85"/>
      <c r="S57" s="85"/>
      <c r="U57"/>
      <c r="V57"/>
    </row>
    <row r="58" spans="1:22" ht="12.75">
      <c r="A58" s="1" t="s">
        <v>46</v>
      </c>
      <c r="B58" s="84"/>
      <c r="C58" s="85"/>
      <c r="D58" s="85"/>
      <c r="E58" s="84"/>
      <c r="F58" s="85"/>
      <c r="G58" s="85"/>
      <c r="H58" s="84"/>
      <c r="I58" s="85"/>
      <c r="J58" s="85"/>
      <c r="K58" s="84"/>
      <c r="L58" s="85"/>
      <c r="M58" s="85"/>
      <c r="N58" s="84"/>
      <c r="O58" s="85"/>
      <c r="P58" s="85"/>
      <c r="Q58" s="84"/>
      <c r="R58" s="85"/>
      <c r="S58" s="85"/>
      <c r="U58"/>
      <c r="V58"/>
    </row>
    <row r="59" spans="1:22" ht="12.75">
      <c r="A59" s="73" t="s">
        <v>42</v>
      </c>
      <c r="B59" s="86">
        <v>51</v>
      </c>
      <c r="C59" s="90">
        <v>42</v>
      </c>
      <c r="D59" s="90">
        <f>SUM(B59:C59)</f>
        <v>93</v>
      </c>
      <c r="E59" s="84">
        <v>15</v>
      </c>
      <c r="F59" s="90">
        <v>17</v>
      </c>
      <c r="G59" s="85">
        <f>SUM(E59:F59)</f>
        <v>32</v>
      </c>
      <c r="H59" s="84">
        <v>26</v>
      </c>
      <c r="I59" s="85">
        <v>36</v>
      </c>
      <c r="J59" s="85">
        <f>SUM(H59:I59)</f>
        <v>62</v>
      </c>
      <c r="K59" s="84">
        <v>85</v>
      </c>
      <c r="L59" s="85">
        <v>73</v>
      </c>
      <c r="M59" s="85">
        <f>SUM(K59:L59)</f>
        <v>158</v>
      </c>
      <c r="N59" s="84">
        <f aca="true" t="shared" si="18" ref="N59:O62">SUM(B59,H59)</f>
        <v>77</v>
      </c>
      <c r="O59" s="85">
        <f t="shared" si="18"/>
        <v>78</v>
      </c>
      <c r="P59" s="85">
        <f>SUM(N59:O59)</f>
        <v>155</v>
      </c>
      <c r="Q59" s="84">
        <f aca="true" t="shared" si="19" ref="Q59:R62">SUM(E59,K59)</f>
        <v>100</v>
      </c>
      <c r="R59" s="85">
        <f t="shared" si="19"/>
        <v>90</v>
      </c>
      <c r="S59" s="85">
        <f>SUM(Q59:R59)</f>
        <v>190</v>
      </c>
      <c r="U59"/>
      <c r="V59"/>
    </row>
    <row r="60" spans="1:22" ht="12.75">
      <c r="A60" s="73" t="s">
        <v>8</v>
      </c>
      <c r="B60" s="84">
        <v>50</v>
      </c>
      <c r="C60" s="85">
        <v>49</v>
      </c>
      <c r="D60" s="85">
        <f>SUM(B60:C60)</f>
        <v>99</v>
      </c>
      <c r="E60" s="84">
        <v>19</v>
      </c>
      <c r="F60" s="85">
        <v>28</v>
      </c>
      <c r="G60" s="85">
        <f>SUM(E60:F60)</f>
        <v>47</v>
      </c>
      <c r="H60" s="84">
        <v>66</v>
      </c>
      <c r="I60" s="85">
        <v>83</v>
      </c>
      <c r="J60" s="85">
        <f>SUM(H60:I60)</f>
        <v>149</v>
      </c>
      <c r="K60" s="84">
        <v>185</v>
      </c>
      <c r="L60" s="85">
        <v>131</v>
      </c>
      <c r="M60" s="85">
        <f>SUM(K60:L60)</f>
        <v>316</v>
      </c>
      <c r="N60" s="84">
        <f t="shared" si="18"/>
        <v>116</v>
      </c>
      <c r="O60" s="85">
        <f t="shared" si="18"/>
        <v>132</v>
      </c>
      <c r="P60" s="85">
        <f>SUM(N60:O60)</f>
        <v>248</v>
      </c>
      <c r="Q60" s="84">
        <f t="shared" si="19"/>
        <v>204</v>
      </c>
      <c r="R60" s="85">
        <f t="shared" si="19"/>
        <v>159</v>
      </c>
      <c r="S60" s="85">
        <f>SUM(Q60:R60)</f>
        <v>363</v>
      </c>
      <c r="U60"/>
      <c r="V60"/>
    </row>
    <row r="61" spans="1:22" ht="12.75">
      <c r="A61" s="73" t="s">
        <v>9</v>
      </c>
      <c r="B61" s="84">
        <v>16</v>
      </c>
      <c r="C61" s="90">
        <v>19</v>
      </c>
      <c r="D61" s="85">
        <f>SUM(B61:C61)</f>
        <v>35</v>
      </c>
      <c r="E61" s="84">
        <v>1</v>
      </c>
      <c r="F61" s="90">
        <v>5</v>
      </c>
      <c r="G61" s="85">
        <f>SUM(E61:F61)</f>
        <v>6</v>
      </c>
      <c r="H61" s="84">
        <v>8</v>
      </c>
      <c r="I61" s="85">
        <v>13</v>
      </c>
      <c r="J61" s="85">
        <f>SUM(H61:I61)</f>
        <v>21</v>
      </c>
      <c r="K61" s="84">
        <v>35</v>
      </c>
      <c r="L61" s="85">
        <v>14</v>
      </c>
      <c r="M61" s="85">
        <f>SUM(K61:L61)</f>
        <v>49</v>
      </c>
      <c r="N61" s="84">
        <f t="shared" si="18"/>
        <v>24</v>
      </c>
      <c r="O61" s="85">
        <f t="shared" si="18"/>
        <v>32</v>
      </c>
      <c r="P61" s="85">
        <f>SUM(N61:O61)</f>
        <v>56</v>
      </c>
      <c r="Q61" s="84">
        <f t="shared" si="19"/>
        <v>36</v>
      </c>
      <c r="R61" s="85">
        <f t="shared" si="19"/>
        <v>19</v>
      </c>
      <c r="S61" s="85">
        <f>SUM(Q61:R61)</f>
        <v>55</v>
      </c>
      <c r="U61"/>
      <c r="V61"/>
    </row>
    <row r="62" spans="1:22" ht="12.75">
      <c r="A62" s="73" t="s">
        <v>10</v>
      </c>
      <c r="B62" s="84">
        <v>11</v>
      </c>
      <c r="C62" s="85">
        <v>12</v>
      </c>
      <c r="D62" s="85">
        <f>SUM(B62:C62)</f>
        <v>23</v>
      </c>
      <c r="E62" s="84">
        <v>9</v>
      </c>
      <c r="F62" s="90">
        <v>7</v>
      </c>
      <c r="G62" s="85">
        <f>SUM(E62:F62)</f>
        <v>16</v>
      </c>
      <c r="H62" s="84">
        <v>8</v>
      </c>
      <c r="I62" s="85">
        <v>10</v>
      </c>
      <c r="J62" s="85">
        <f>SUM(H62:I62)</f>
        <v>18</v>
      </c>
      <c r="K62" s="84">
        <v>11</v>
      </c>
      <c r="L62" s="85">
        <v>9</v>
      </c>
      <c r="M62" s="85">
        <f>SUM(K62:L62)</f>
        <v>20</v>
      </c>
      <c r="N62" s="84">
        <f t="shared" si="18"/>
        <v>19</v>
      </c>
      <c r="O62" s="85">
        <f t="shared" si="18"/>
        <v>22</v>
      </c>
      <c r="P62" s="85">
        <f>SUM(N62:O62)</f>
        <v>41</v>
      </c>
      <c r="Q62" s="84">
        <f t="shared" si="19"/>
        <v>20</v>
      </c>
      <c r="R62" s="85">
        <f t="shared" si="19"/>
        <v>16</v>
      </c>
      <c r="S62" s="85">
        <f>SUM(Q62:R62)</f>
        <v>36</v>
      </c>
      <c r="U62"/>
      <c r="V62"/>
    </row>
    <row r="63" spans="1:22" ht="12.75">
      <c r="A63" s="87" t="s">
        <v>4</v>
      </c>
      <c r="B63" s="88">
        <f aca="true" t="shared" si="20" ref="B63:S63">SUM(B59:B62)</f>
        <v>128</v>
      </c>
      <c r="C63" s="89">
        <f t="shared" si="20"/>
        <v>122</v>
      </c>
      <c r="D63" s="89">
        <f t="shared" si="20"/>
        <v>250</v>
      </c>
      <c r="E63" s="88">
        <f t="shared" si="20"/>
        <v>44</v>
      </c>
      <c r="F63" s="89">
        <f t="shared" si="20"/>
        <v>57</v>
      </c>
      <c r="G63" s="89">
        <f t="shared" si="20"/>
        <v>101</v>
      </c>
      <c r="H63" s="88">
        <f t="shared" si="20"/>
        <v>108</v>
      </c>
      <c r="I63" s="89">
        <f t="shared" si="20"/>
        <v>142</v>
      </c>
      <c r="J63" s="89">
        <f t="shared" si="20"/>
        <v>250</v>
      </c>
      <c r="K63" s="88">
        <f t="shared" si="20"/>
        <v>316</v>
      </c>
      <c r="L63" s="89">
        <f t="shared" si="20"/>
        <v>227</v>
      </c>
      <c r="M63" s="89">
        <f t="shared" si="20"/>
        <v>543</v>
      </c>
      <c r="N63" s="88">
        <f t="shared" si="20"/>
        <v>236</v>
      </c>
      <c r="O63" s="89">
        <f t="shared" si="20"/>
        <v>264</v>
      </c>
      <c r="P63" s="89">
        <f t="shared" si="20"/>
        <v>500</v>
      </c>
      <c r="Q63" s="88">
        <f t="shared" si="20"/>
        <v>360</v>
      </c>
      <c r="R63" s="89">
        <f t="shared" si="20"/>
        <v>284</v>
      </c>
      <c r="S63" s="89">
        <f t="shared" si="20"/>
        <v>644</v>
      </c>
      <c r="U63"/>
      <c r="V63"/>
    </row>
    <row r="64" spans="1:22" ht="12.75">
      <c r="A64" s="87"/>
      <c r="B64" s="91"/>
      <c r="C64" s="92"/>
      <c r="D64" s="92"/>
      <c r="E64" s="91"/>
      <c r="F64" s="92"/>
      <c r="G64" s="92"/>
      <c r="H64" s="91"/>
      <c r="I64" s="92"/>
      <c r="J64" s="92"/>
      <c r="K64" s="91"/>
      <c r="L64" s="92"/>
      <c r="M64" s="92"/>
      <c r="N64" s="91"/>
      <c r="O64" s="92"/>
      <c r="P64" s="92"/>
      <c r="Q64" s="91"/>
      <c r="R64" s="92"/>
      <c r="S64" s="92"/>
      <c r="U64"/>
      <c r="V64"/>
    </row>
    <row r="65" spans="1:22" ht="12.75">
      <c r="A65" s="72" t="s">
        <v>15</v>
      </c>
      <c r="B65" s="84"/>
      <c r="C65" s="85"/>
      <c r="D65" s="85"/>
      <c r="E65" s="84"/>
      <c r="F65" s="85"/>
      <c r="G65" s="85"/>
      <c r="H65" s="84"/>
      <c r="I65" s="85"/>
      <c r="J65" s="85"/>
      <c r="K65" s="84"/>
      <c r="L65" s="85"/>
      <c r="M65" s="85"/>
      <c r="N65" s="84"/>
      <c r="O65" s="85"/>
      <c r="P65" s="85"/>
      <c r="Q65" s="84"/>
      <c r="R65" s="85"/>
      <c r="S65" s="85"/>
      <c r="U65"/>
      <c r="V65"/>
    </row>
    <row r="66" spans="1:22" ht="12.75">
      <c r="A66" s="73" t="s">
        <v>42</v>
      </c>
      <c r="B66" s="84">
        <v>63</v>
      </c>
      <c r="C66" s="90">
        <v>68</v>
      </c>
      <c r="D66" s="85">
        <f>SUM(B66:C66)</f>
        <v>131</v>
      </c>
      <c r="E66" s="84">
        <v>11</v>
      </c>
      <c r="F66" s="85">
        <v>2</v>
      </c>
      <c r="G66" s="85">
        <f>SUM(E66:F66)</f>
        <v>13</v>
      </c>
      <c r="H66" s="84">
        <v>65</v>
      </c>
      <c r="I66" s="85">
        <v>116</v>
      </c>
      <c r="J66" s="85">
        <f>SUM(H66:I66)</f>
        <v>181</v>
      </c>
      <c r="K66" s="84">
        <v>74</v>
      </c>
      <c r="L66" s="220">
        <v>79</v>
      </c>
      <c r="M66" s="85">
        <f>SUM(K66:L66)</f>
        <v>153</v>
      </c>
      <c r="N66" s="84">
        <f aca="true" t="shared" si="21" ref="N66:O69">SUM(B66,H66)</f>
        <v>128</v>
      </c>
      <c r="O66" s="85">
        <f t="shared" si="21"/>
        <v>184</v>
      </c>
      <c r="P66" s="85">
        <f>SUM(N66:O66)</f>
        <v>312</v>
      </c>
      <c r="Q66" s="84">
        <f aca="true" t="shared" si="22" ref="Q66:R69">SUM(E66,K66)</f>
        <v>85</v>
      </c>
      <c r="R66" s="85">
        <f t="shared" si="22"/>
        <v>81</v>
      </c>
      <c r="S66" s="85">
        <f>SUM(Q66:R66)</f>
        <v>166</v>
      </c>
      <c r="U66"/>
      <c r="V66"/>
    </row>
    <row r="67" spans="1:22" ht="12.75">
      <c r="A67" s="73" t="s">
        <v>8</v>
      </c>
      <c r="B67" s="84">
        <v>8</v>
      </c>
      <c r="C67" s="85">
        <v>6</v>
      </c>
      <c r="D67" s="85">
        <f>SUM(B67:C67)</f>
        <v>14</v>
      </c>
      <c r="E67" s="84">
        <v>0</v>
      </c>
      <c r="F67" s="85">
        <v>0</v>
      </c>
      <c r="G67" s="85">
        <f>SUM(E67:F67)</f>
        <v>0</v>
      </c>
      <c r="H67" s="84">
        <v>8</v>
      </c>
      <c r="I67" s="85">
        <v>15</v>
      </c>
      <c r="J67" s="85">
        <f>SUM(H67:I67)</f>
        <v>23</v>
      </c>
      <c r="K67" s="84">
        <v>8</v>
      </c>
      <c r="L67" s="85">
        <v>14</v>
      </c>
      <c r="M67" s="85">
        <f>SUM(K67:L67)</f>
        <v>22</v>
      </c>
      <c r="N67" s="84">
        <f t="shared" si="21"/>
        <v>16</v>
      </c>
      <c r="O67" s="85">
        <f t="shared" si="21"/>
        <v>21</v>
      </c>
      <c r="P67" s="85">
        <f>SUM(N67:O67)</f>
        <v>37</v>
      </c>
      <c r="Q67" s="84">
        <f t="shared" si="22"/>
        <v>8</v>
      </c>
      <c r="R67" s="85">
        <f t="shared" si="22"/>
        <v>14</v>
      </c>
      <c r="S67" s="85">
        <f>SUM(Q67:R67)</f>
        <v>22</v>
      </c>
      <c r="U67"/>
      <c r="V67"/>
    </row>
    <row r="68" spans="1:22" ht="12.75">
      <c r="A68" s="73" t="s">
        <v>9</v>
      </c>
      <c r="B68" s="84">
        <v>0</v>
      </c>
      <c r="C68" s="85">
        <v>0</v>
      </c>
      <c r="D68" s="85">
        <f>SUM(B68:C68)</f>
        <v>0</v>
      </c>
      <c r="E68" s="86">
        <v>0</v>
      </c>
      <c r="F68" s="85">
        <v>0</v>
      </c>
      <c r="G68" s="85">
        <f>SUM(E68:F68)</f>
        <v>0</v>
      </c>
      <c r="H68" s="84">
        <v>0</v>
      </c>
      <c r="I68" s="85">
        <v>0</v>
      </c>
      <c r="J68" s="85">
        <f>SUM(H68:I68)</f>
        <v>0</v>
      </c>
      <c r="K68" s="84">
        <v>0</v>
      </c>
      <c r="L68" s="85">
        <v>0</v>
      </c>
      <c r="M68" s="85">
        <f>SUM(K68:L68)</f>
        <v>0</v>
      </c>
      <c r="N68" s="84">
        <f t="shared" si="21"/>
        <v>0</v>
      </c>
      <c r="O68" s="85">
        <f t="shared" si="21"/>
        <v>0</v>
      </c>
      <c r="P68" s="85">
        <f>SUM(N68:O68)</f>
        <v>0</v>
      </c>
      <c r="Q68" s="84">
        <f t="shared" si="22"/>
        <v>0</v>
      </c>
      <c r="R68" s="85">
        <f t="shared" si="22"/>
        <v>0</v>
      </c>
      <c r="S68" s="85">
        <f>SUM(Q68:R68)</f>
        <v>0</v>
      </c>
      <c r="U68"/>
      <c r="V68"/>
    </row>
    <row r="69" spans="1:22" ht="12.75">
      <c r="A69" s="73" t="s">
        <v>10</v>
      </c>
      <c r="B69" s="84">
        <v>784</v>
      </c>
      <c r="C69" s="85">
        <v>807</v>
      </c>
      <c r="D69" s="85">
        <f>SUM(B69:C69)</f>
        <v>1591</v>
      </c>
      <c r="E69" s="84">
        <v>45</v>
      </c>
      <c r="F69" s="85">
        <v>69</v>
      </c>
      <c r="G69" s="85">
        <f>SUM(E69:F69)</f>
        <v>114</v>
      </c>
      <c r="H69" s="84">
        <v>658</v>
      </c>
      <c r="I69" s="85">
        <v>1283</v>
      </c>
      <c r="J69" s="85">
        <f>SUM(H69:I69)</f>
        <v>1941</v>
      </c>
      <c r="K69" s="84">
        <v>486</v>
      </c>
      <c r="L69" s="85">
        <v>775</v>
      </c>
      <c r="M69" s="85">
        <f>SUM(K69:L69)</f>
        <v>1261</v>
      </c>
      <c r="N69" s="84">
        <f t="shared" si="21"/>
        <v>1442</v>
      </c>
      <c r="O69" s="85">
        <f t="shared" si="21"/>
        <v>2090</v>
      </c>
      <c r="P69" s="85">
        <f>SUM(N69:O69)</f>
        <v>3532</v>
      </c>
      <c r="Q69" s="84">
        <f t="shared" si="22"/>
        <v>531</v>
      </c>
      <c r="R69" s="85">
        <f t="shared" si="22"/>
        <v>844</v>
      </c>
      <c r="S69" s="85">
        <f>SUM(Q69:R69)</f>
        <v>1375</v>
      </c>
      <c r="U69"/>
      <c r="V69"/>
    </row>
    <row r="70" spans="1:22" ht="12.75">
      <c r="A70" s="87" t="s">
        <v>4</v>
      </c>
      <c r="B70" s="88">
        <f aca="true" t="shared" si="23" ref="B70:S70">SUM(B66:B69)</f>
        <v>855</v>
      </c>
      <c r="C70" s="89">
        <f t="shared" si="23"/>
        <v>881</v>
      </c>
      <c r="D70" s="89">
        <f t="shared" si="23"/>
        <v>1736</v>
      </c>
      <c r="E70" s="88">
        <f t="shared" si="23"/>
        <v>56</v>
      </c>
      <c r="F70" s="89">
        <f t="shared" si="23"/>
        <v>71</v>
      </c>
      <c r="G70" s="89">
        <f t="shared" si="23"/>
        <v>127</v>
      </c>
      <c r="H70" s="88">
        <f t="shared" si="23"/>
        <v>731</v>
      </c>
      <c r="I70" s="89">
        <f t="shared" si="23"/>
        <v>1414</v>
      </c>
      <c r="J70" s="89">
        <f t="shared" si="23"/>
        <v>2145</v>
      </c>
      <c r="K70" s="88">
        <f>SUM(K66:K69)</f>
        <v>568</v>
      </c>
      <c r="L70" s="89">
        <f t="shared" si="23"/>
        <v>868</v>
      </c>
      <c r="M70" s="89">
        <f t="shared" si="23"/>
        <v>1436</v>
      </c>
      <c r="N70" s="88">
        <f t="shared" si="23"/>
        <v>1586</v>
      </c>
      <c r="O70" s="89">
        <f t="shared" si="23"/>
        <v>2295</v>
      </c>
      <c r="P70" s="89">
        <f t="shared" si="23"/>
        <v>3881</v>
      </c>
      <c r="Q70" s="88">
        <f t="shared" si="23"/>
        <v>624</v>
      </c>
      <c r="R70" s="89">
        <f t="shared" si="23"/>
        <v>939</v>
      </c>
      <c r="S70" s="89">
        <f t="shared" si="23"/>
        <v>1563</v>
      </c>
      <c r="U70"/>
      <c r="V70"/>
    </row>
    <row r="71" spans="1:22" ht="12.75">
      <c r="A71" s="87"/>
      <c r="B71" s="91"/>
      <c r="C71" s="92"/>
      <c r="D71" s="92"/>
      <c r="E71" s="91"/>
      <c r="F71" s="92"/>
      <c r="G71" s="92"/>
      <c r="H71" s="91"/>
      <c r="I71" s="92"/>
      <c r="J71" s="92"/>
      <c r="K71" s="91"/>
      <c r="L71" s="92"/>
      <c r="M71" s="92"/>
      <c r="N71" s="91"/>
      <c r="O71" s="92"/>
      <c r="P71" s="92"/>
      <c r="Q71" s="91"/>
      <c r="R71" s="92"/>
      <c r="S71" s="92"/>
      <c r="U71"/>
      <c r="V71"/>
    </row>
    <row r="72" spans="1:22" s="93" customFormat="1" ht="13.5" customHeight="1">
      <c r="A72" s="198" t="s">
        <v>43</v>
      </c>
      <c r="B72" s="84"/>
      <c r="C72" s="199"/>
      <c r="D72" s="199"/>
      <c r="E72" s="84"/>
      <c r="F72" s="199"/>
      <c r="G72" s="199"/>
      <c r="H72" s="84"/>
      <c r="I72" s="199"/>
      <c r="J72" s="199"/>
      <c r="K72" s="84"/>
      <c r="L72" s="199"/>
      <c r="M72" s="199"/>
      <c r="N72" s="84"/>
      <c r="O72" s="199"/>
      <c r="P72" s="199"/>
      <c r="Q72" s="84"/>
      <c r="R72" s="199"/>
      <c r="S72" s="199"/>
      <c r="U72"/>
      <c r="V72"/>
    </row>
    <row r="73" spans="1:22" s="93" customFormat="1" ht="12.75">
      <c r="A73" s="229" t="s">
        <v>85</v>
      </c>
      <c r="B73" s="91">
        <f>SUM(B70,B63,B56,B46,B43,B36,B29,B22,B15,B49)</f>
        <v>23145</v>
      </c>
      <c r="C73" s="92">
        <f aca="true" t="shared" si="24" ref="C73:S73">SUM(C70,C63,C56,C46,C43,C36,C29,C22,C15,C49)</f>
        <v>49048</v>
      </c>
      <c r="D73" s="161">
        <f t="shared" si="24"/>
        <v>72193</v>
      </c>
      <c r="E73" s="91">
        <f t="shared" si="24"/>
        <v>5987</v>
      </c>
      <c r="F73" s="92">
        <f t="shared" si="24"/>
        <v>16111</v>
      </c>
      <c r="G73" s="161">
        <f t="shared" si="24"/>
        <v>22098</v>
      </c>
      <c r="H73" s="91">
        <f t="shared" si="24"/>
        <v>7219</v>
      </c>
      <c r="I73" s="92">
        <f t="shared" si="24"/>
        <v>34690</v>
      </c>
      <c r="J73" s="161">
        <f t="shared" si="24"/>
        <v>41909</v>
      </c>
      <c r="K73" s="91">
        <f t="shared" si="24"/>
        <v>6388</v>
      </c>
      <c r="L73" s="92">
        <f t="shared" si="24"/>
        <v>15448</v>
      </c>
      <c r="M73" s="161">
        <f t="shared" si="24"/>
        <v>21836</v>
      </c>
      <c r="N73" s="91">
        <f t="shared" si="24"/>
        <v>30364</v>
      </c>
      <c r="O73" s="92">
        <f t="shared" si="24"/>
        <v>83738</v>
      </c>
      <c r="P73" s="161">
        <f t="shared" si="24"/>
        <v>114102</v>
      </c>
      <c r="Q73" s="91">
        <f t="shared" si="24"/>
        <v>12375</v>
      </c>
      <c r="R73" s="92">
        <f t="shared" si="24"/>
        <v>31559</v>
      </c>
      <c r="S73" s="92">
        <f t="shared" si="24"/>
        <v>43934</v>
      </c>
      <c r="U73"/>
      <c r="V73"/>
    </row>
    <row r="75" ht="12.75">
      <c r="A75" s="214"/>
    </row>
    <row r="76" ht="12.75">
      <c r="A76" s="226"/>
    </row>
  </sheetData>
  <sheetProtection/>
  <printOptions horizontalCentered="1"/>
  <pageMargins left="0.1968503937007874" right="0.1968503937007874" top="0.1968503937007874" bottom="0.1968503937007874" header="0.5118110236220472" footer="0.5118110236220472"/>
  <pageSetup fitToHeight="2" horizontalDpi="1200" verticalDpi="1200" orientation="landscape" paperSize="9" scale="5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tabColor theme="2"/>
    <pageSetUpPr fitToPage="1"/>
  </sheetPr>
  <dimension ref="A1:V71"/>
  <sheetViews>
    <sheetView zoomScalePageLayoutView="0" workbookViewId="0" topLeftCell="A1">
      <selection activeCell="A78" sqref="A78"/>
    </sheetView>
  </sheetViews>
  <sheetFormatPr defaultColWidth="9.28125" defaultRowHeight="12.75"/>
  <cols>
    <col min="1" max="1" width="28.7109375" style="97" customWidth="1"/>
    <col min="2" max="19" width="7.421875" style="97" customWidth="1"/>
    <col min="20" max="16384" width="9.28125" style="97" customWidth="1"/>
  </cols>
  <sheetData>
    <row r="1" spans="1:19" ht="12.75">
      <c r="A1" s="94" t="s">
        <v>101</v>
      </c>
      <c r="B1" s="95"/>
      <c r="C1" s="95"/>
      <c r="D1" s="95"/>
      <c r="E1" s="96"/>
      <c r="F1" s="95"/>
      <c r="G1" s="95"/>
      <c r="H1" s="95"/>
      <c r="I1" s="95"/>
      <c r="J1" s="95"/>
      <c r="K1" s="95"/>
      <c r="L1" s="95"/>
      <c r="M1" s="95"/>
      <c r="N1" s="95"/>
      <c r="O1" s="95"/>
      <c r="P1" s="95"/>
      <c r="Q1" s="95"/>
      <c r="R1" s="95"/>
      <c r="S1" s="95"/>
    </row>
    <row r="2" spans="1:19" ht="12.75">
      <c r="A2" s="98" t="s">
        <v>38</v>
      </c>
      <c r="B2" s="99"/>
      <c r="C2" s="99"/>
      <c r="D2" s="98"/>
      <c r="E2" s="100"/>
      <c r="F2" s="99"/>
      <c r="G2" s="101"/>
      <c r="H2" s="99"/>
      <c r="I2" s="101"/>
      <c r="J2" s="99"/>
      <c r="K2" s="99"/>
      <c r="L2" s="99"/>
      <c r="M2" s="99"/>
      <c r="N2" s="99"/>
      <c r="O2" s="99"/>
      <c r="P2" s="99"/>
      <c r="Q2" s="99"/>
      <c r="R2" s="99"/>
      <c r="S2" s="99"/>
    </row>
    <row r="3" spans="1:19" ht="11.25" customHeight="1">
      <c r="A3" s="98"/>
      <c r="B3" s="99"/>
      <c r="C3" s="99"/>
      <c r="D3" s="99"/>
      <c r="E3" s="100"/>
      <c r="F3" s="98"/>
      <c r="G3" s="101"/>
      <c r="H3" s="99"/>
      <c r="I3" s="101"/>
      <c r="J3" s="99"/>
      <c r="K3" s="99"/>
      <c r="L3" s="99"/>
      <c r="M3" s="99"/>
      <c r="N3" s="99"/>
      <c r="O3" s="99"/>
      <c r="P3" s="99"/>
      <c r="Q3" s="99"/>
      <c r="R3" s="99"/>
      <c r="S3" s="99"/>
    </row>
    <row r="4" spans="1:19" ht="12.75">
      <c r="A4" s="98" t="s">
        <v>47</v>
      </c>
      <c r="B4" s="99"/>
      <c r="C4" s="99"/>
      <c r="D4" s="99"/>
      <c r="E4" s="100"/>
      <c r="F4" s="98"/>
      <c r="G4" s="101"/>
      <c r="H4" s="99"/>
      <c r="I4" s="101"/>
      <c r="J4" s="99"/>
      <c r="K4" s="99"/>
      <c r="L4" s="99"/>
      <c r="M4" s="99"/>
      <c r="N4" s="99"/>
      <c r="O4" s="99"/>
      <c r="P4" s="99"/>
      <c r="Q4" s="99"/>
      <c r="R4" s="99"/>
      <c r="S4" s="99"/>
    </row>
    <row r="5" spans="1:19" ht="13.5" thickBot="1">
      <c r="A5" s="95"/>
      <c r="B5" s="95"/>
      <c r="C5" s="95"/>
      <c r="D5" s="95"/>
      <c r="E5" s="96"/>
      <c r="F5" s="95"/>
      <c r="G5" s="95"/>
      <c r="H5" s="95"/>
      <c r="I5" s="95"/>
      <c r="J5" s="95"/>
      <c r="K5" s="95"/>
      <c r="L5" s="95"/>
      <c r="M5" s="95"/>
      <c r="N5" s="95"/>
      <c r="O5" s="95"/>
      <c r="P5" s="95"/>
      <c r="Q5" s="95"/>
      <c r="R5" s="95"/>
      <c r="S5" s="95"/>
    </row>
    <row r="6" spans="1:19" ht="12.75">
      <c r="A6" s="102"/>
      <c r="B6" s="103" t="s">
        <v>36</v>
      </c>
      <c r="C6" s="104"/>
      <c r="D6" s="104"/>
      <c r="E6" s="104"/>
      <c r="F6" s="104"/>
      <c r="G6" s="104"/>
      <c r="H6" s="103" t="s">
        <v>37</v>
      </c>
      <c r="I6" s="104"/>
      <c r="J6" s="104"/>
      <c r="K6" s="104"/>
      <c r="L6" s="104"/>
      <c r="M6" s="104"/>
      <c r="N6" s="103" t="s">
        <v>4</v>
      </c>
      <c r="O6" s="104"/>
      <c r="P6" s="104"/>
      <c r="Q6" s="104"/>
      <c r="R6" s="104"/>
      <c r="S6" s="104"/>
    </row>
    <row r="7" spans="1:19" ht="12.75">
      <c r="A7" s="96"/>
      <c r="B7" s="105" t="s">
        <v>24</v>
      </c>
      <c r="C7" s="106"/>
      <c r="D7" s="106"/>
      <c r="E7" s="105" t="s">
        <v>25</v>
      </c>
      <c r="F7" s="106"/>
      <c r="G7" s="106"/>
      <c r="H7" s="105" t="s">
        <v>24</v>
      </c>
      <c r="I7" s="106"/>
      <c r="J7" s="106"/>
      <c r="K7" s="105" t="s">
        <v>25</v>
      </c>
      <c r="L7" s="106"/>
      <c r="M7" s="106"/>
      <c r="N7" s="105" t="s">
        <v>24</v>
      </c>
      <c r="O7" s="106"/>
      <c r="P7" s="106"/>
      <c r="Q7" s="105" t="s">
        <v>25</v>
      </c>
      <c r="R7" s="106"/>
      <c r="S7" s="106"/>
    </row>
    <row r="8" spans="1:19" s="160" customFormat="1" ht="12.75">
      <c r="A8" s="159"/>
      <c r="B8" s="179" t="s">
        <v>5</v>
      </c>
      <c r="C8" s="180" t="s">
        <v>6</v>
      </c>
      <c r="D8" s="180" t="s">
        <v>4</v>
      </c>
      <c r="E8" s="179" t="s">
        <v>5</v>
      </c>
      <c r="F8" s="180" t="s">
        <v>6</v>
      </c>
      <c r="G8" s="180" t="s">
        <v>4</v>
      </c>
      <c r="H8" s="179" t="s">
        <v>5</v>
      </c>
      <c r="I8" s="180" t="s">
        <v>6</v>
      </c>
      <c r="J8" s="180" t="s">
        <v>4</v>
      </c>
      <c r="K8" s="179" t="s">
        <v>5</v>
      </c>
      <c r="L8" s="180" t="s">
        <v>6</v>
      </c>
      <c r="M8" s="180" t="s">
        <v>4</v>
      </c>
      <c r="N8" s="179" t="s">
        <v>5</v>
      </c>
      <c r="O8" s="180" t="s">
        <v>6</v>
      </c>
      <c r="P8" s="180" t="s">
        <v>4</v>
      </c>
      <c r="Q8" s="179" t="s">
        <v>5</v>
      </c>
      <c r="R8" s="180" t="s">
        <v>6</v>
      </c>
      <c r="S8" s="180" t="s">
        <v>4</v>
      </c>
    </row>
    <row r="9" spans="1:19" ht="12.75">
      <c r="A9" s="94"/>
      <c r="B9" s="107"/>
      <c r="C9" s="94"/>
      <c r="D9" s="94"/>
      <c r="E9" s="108"/>
      <c r="F9" s="95"/>
      <c r="G9" s="95"/>
      <c r="H9" s="108"/>
      <c r="I9" s="95"/>
      <c r="J9" s="95"/>
      <c r="K9" s="108"/>
      <c r="L9" s="95"/>
      <c r="M9" s="95"/>
      <c r="N9" s="108"/>
      <c r="O9" s="95"/>
      <c r="P9" s="95"/>
      <c r="Q9" s="108"/>
      <c r="R9" s="95"/>
      <c r="S9" s="95"/>
    </row>
    <row r="10" spans="1:19" ht="12.75">
      <c r="A10" s="94" t="s">
        <v>7</v>
      </c>
      <c r="B10" s="109"/>
      <c r="C10" s="110"/>
      <c r="D10" s="110"/>
      <c r="E10" s="109"/>
      <c r="F10" s="110"/>
      <c r="G10" s="110"/>
      <c r="H10" s="109"/>
      <c r="I10" s="110"/>
      <c r="J10" s="110"/>
      <c r="K10" s="109"/>
      <c r="L10" s="110"/>
      <c r="M10" s="110"/>
      <c r="N10" s="109"/>
      <c r="O10" s="110"/>
      <c r="P10" s="110"/>
      <c r="Q10" s="109"/>
      <c r="R10" s="110"/>
      <c r="S10" s="110"/>
    </row>
    <row r="11" spans="1:22" ht="12.75">
      <c r="A11" s="95" t="s">
        <v>49</v>
      </c>
      <c r="B11" s="109">
        <v>4866</v>
      </c>
      <c r="C11" s="110">
        <v>20816</v>
      </c>
      <c r="D11" s="110">
        <f>(B11+C11)</f>
        <v>25682</v>
      </c>
      <c r="E11" s="109">
        <v>886</v>
      </c>
      <c r="F11" s="110">
        <v>6906</v>
      </c>
      <c r="G11" s="110">
        <f>(E11+F11)</f>
        <v>7792</v>
      </c>
      <c r="H11" s="109">
        <v>1384</v>
      </c>
      <c r="I11" s="110">
        <v>11987</v>
      </c>
      <c r="J11" s="110">
        <f>(H11+I11)</f>
        <v>13371</v>
      </c>
      <c r="K11" s="111">
        <v>862</v>
      </c>
      <c r="L11" s="110">
        <v>6319</v>
      </c>
      <c r="M11" s="110">
        <f>SUM(K11:L11)</f>
        <v>7181</v>
      </c>
      <c r="N11" s="109">
        <f aca="true" t="shared" si="0" ref="N11:S11">SUM(B11,H11)</f>
        <v>6250</v>
      </c>
      <c r="O11" s="110">
        <f t="shared" si="0"/>
        <v>32803</v>
      </c>
      <c r="P11" s="110">
        <f t="shared" si="0"/>
        <v>39053</v>
      </c>
      <c r="Q11" s="109">
        <f t="shared" si="0"/>
        <v>1748</v>
      </c>
      <c r="R11" s="110">
        <f t="shared" si="0"/>
        <v>13225</v>
      </c>
      <c r="S11" s="110">
        <f t="shared" si="0"/>
        <v>14973</v>
      </c>
      <c r="U11"/>
      <c r="V11"/>
    </row>
    <row r="12" spans="1:22" ht="12.75">
      <c r="A12" s="227" t="s">
        <v>71</v>
      </c>
      <c r="B12" s="109">
        <v>4577</v>
      </c>
      <c r="C12" s="110">
        <v>22347</v>
      </c>
      <c r="D12" s="110">
        <f>(B12+C12)</f>
        <v>26924</v>
      </c>
      <c r="E12" s="109">
        <v>886</v>
      </c>
      <c r="F12" s="110">
        <v>7641</v>
      </c>
      <c r="G12" s="110">
        <f>(E12+F12)</f>
        <v>8527</v>
      </c>
      <c r="H12" s="109">
        <v>1376</v>
      </c>
      <c r="I12" s="110">
        <v>11898</v>
      </c>
      <c r="J12" s="110">
        <f>(H12+I12)</f>
        <v>13274</v>
      </c>
      <c r="K12" s="111">
        <v>967</v>
      </c>
      <c r="L12" s="110">
        <v>6301</v>
      </c>
      <c r="M12" s="110">
        <f>SUM(K12:L12)</f>
        <v>7268</v>
      </c>
      <c r="N12" s="109">
        <f aca="true" t="shared" si="1" ref="N12:S12">SUM(B12,H12)</f>
        <v>5953</v>
      </c>
      <c r="O12" s="110">
        <f t="shared" si="1"/>
        <v>34245</v>
      </c>
      <c r="P12" s="110">
        <f t="shared" si="1"/>
        <v>40198</v>
      </c>
      <c r="Q12" s="109">
        <f t="shared" si="1"/>
        <v>1853</v>
      </c>
      <c r="R12" s="110">
        <f t="shared" si="1"/>
        <v>13942</v>
      </c>
      <c r="S12" s="110">
        <f t="shared" si="1"/>
        <v>15795</v>
      </c>
      <c r="U12"/>
      <c r="V12"/>
    </row>
    <row r="13" spans="1:22" ht="12.75">
      <c r="A13" s="95" t="s">
        <v>86</v>
      </c>
      <c r="B13" s="109">
        <v>4736</v>
      </c>
      <c r="C13" s="110">
        <v>24732</v>
      </c>
      <c r="D13" s="110">
        <f>(B13+C13)</f>
        <v>29468</v>
      </c>
      <c r="E13" s="109">
        <v>1083</v>
      </c>
      <c r="F13" s="110">
        <v>7929</v>
      </c>
      <c r="G13" s="110">
        <f>(E13+F13)</f>
        <v>9012</v>
      </c>
      <c r="H13" s="109">
        <v>1053</v>
      </c>
      <c r="I13" s="110">
        <v>11827</v>
      </c>
      <c r="J13" s="110">
        <f>(H13+I13)</f>
        <v>12880</v>
      </c>
      <c r="K13" s="111">
        <v>907</v>
      </c>
      <c r="L13" s="110">
        <v>5877</v>
      </c>
      <c r="M13" s="110">
        <f>SUM(K13:L13)</f>
        <v>6784</v>
      </c>
      <c r="N13" s="109">
        <f aca="true" t="shared" si="2" ref="N13:S13">SUM(B13,H13)</f>
        <v>5789</v>
      </c>
      <c r="O13" s="110">
        <f t="shared" si="2"/>
        <v>36559</v>
      </c>
      <c r="P13" s="110">
        <f t="shared" si="2"/>
        <v>42348</v>
      </c>
      <c r="Q13" s="109">
        <f t="shared" si="2"/>
        <v>1990</v>
      </c>
      <c r="R13" s="110">
        <f t="shared" si="2"/>
        <v>13806</v>
      </c>
      <c r="S13" s="110">
        <f t="shared" si="2"/>
        <v>15796</v>
      </c>
      <c r="U13"/>
      <c r="V13"/>
    </row>
    <row r="14" spans="1:22" ht="12.75">
      <c r="A14" s="95" t="s">
        <v>106</v>
      </c>
      <c r="B14" s="109">
        <v>4436</v>
      </c>
      <c r="C14" s="110">
        <v>23588</v>
      </c>
      <c r="D14" s="110">
        <f>(B14+C14)</f>
        <v>28024</v>
      </c>
      <c r="E14" s="109">
        <v>1151</v>
      </c>
      <c r="F14" s="110">
        <v>7913</v>
      </c>
      <c r="G14" s="110">
        <f>(E14+F14)</f>
        <v>9064</v>
      </c>
      <c r="H14" s="109">
        <v>1302</v>
      </c>
      <c r="I14" s="110">
        <v>14420</v>
      </c>
      <c r="J14" s="110">
        <f>(H14+I14)</f>
        <v>15722</v>
      </c>
      <c r="K14" s="111">
        <v>831</v>
      </c>
      <c r="L14" s="110">
        <v>5809</v>
      </c>
      <c r="M14" s="110">
        <f>SUM(K14:L14)</f>
        <v>6640</v>
      </c>
      <c r="N14" s="109">
        <f aca="true" t="shared" si="3" ref="N14:S14">SUM(B14,H14)</f>
        <v>5738</v>
      </c>
      <c r="O14" s="110">
        <f t="shared" si="3"/>
        <v>38008</v>
      </c>
      <c r="P14" s="110">
        <f t="shared" si="3"/>
        <v>43746</v>
      </c>
      <c r="Q14" s="109">
        <f t="shared" si="3"/>
        <v>1982</v>
      </c>
      <c r="R14" s="110">
        <f t="shared" si="3"/>
        <v>13722</v>
      </c>
      <c r="S14" s="110">
        <f t="shared" si="3"/>
        <v>15704</v>
      </c>
      <c r="U14"/>
      <c r="V14"/>
    </row>
    <row r="15" spans="1:22" ht="12.75">
      <c r="A15" s="96"/>
      <c r="B15" s="109"/>
      <c r="C15" s="110"/>
      <c r="D15" s="110"/>
      <c r="E15" s="109"/>
      <c r="F15" s="110"/>
      <c r="G15" s="110"/>
      <c r="H15" s="109"/>
      <c r="I15" s="110"/>
      <c r="J15" s="110"/>
      <c r="K15" s="109"/>
      <c r="L15" s="110"/>
      <c r="M15" s="110"/>
      <c r="N15" s="109"/>
      <c r="O15" s="110"/>
      <c r="P15" s="110"/>
      <c r="Q15" s="109"/>
      <c r="R15" s="110"/>
      <c r="S15" s="110"/>
      <c r="U15"/>
      <c r="V15"/>
    </row>
    <row r="16" spans="1:22" ht="12.75">
      <c r="A16" s="94" t="s">
        <v>11</v>
      </c>
      <c r="B16" s="109"/>
      <c r="C16" s="110"/>
      <c r="D16" s="110"/>
      <c r="E16" s="109"/>
      <c r="F16" s="110"/>
      <c r="G16" s="110"/>
      <c r="H16" s="109"/>
      <c r="I16" s="110"/>
      <c r="J16" s="110"/>
      <c r="K16" s="109"/>
      <c r="L16" s="110"/>
      <c r="M16" s="110"/>
      <c r="N16" s="109"/>
      <c r="O16" s="110"/>
      <c r="P16" s="110"/>
      <c r="Q16" s="109"/>
      <c r="R16" s="110"/>
      <c r="S16" s="110"/>
      <c r="U16"/>
      <c r="V16"/>
    </row>
    <row r="17" spans="1:22" ht="12.75">
      <c r="A17" s="95" t="s">
        <v>49</v>
      </c>
      <c r="B17" s="109">
        <v>736</v>
      </c>
      <c r="C17" s="110">
        <v>2627</v>
      </c>
      <c r="D17" s="110">
        <f>SUM(B17:C17)</f>
        <v>3363</v>
      </c>
      <c r="E17" s="109">
        <v>159</v>
      </c>
      <c r="F17" s="110">
        <v>1050</v>
      </c>
      <c r="G17" s="110">
        <f>SUM(E17:F17)</f>
        <v>1209</v>
      </c>
      <c r="H17" s="109">
        <v>146</v>
      </c>
      <c r="I17" s="110">
        <v>1285</v>
      </c>
      <c r="J17" s="110">
        <f>SUM(H17:I17)</f>
        <v>1431</v>
      </c>
      <c r="K17" s="111">
        <v>102</v>
      </c>
      <c r="L17" s="110">
        <v>630</v>
      </c>
      <c r="M17" s="110">
        <f>SUM(K17:L17)</f>
        <v>732</v>
      </c>
      <c r="N17" s="109">
        <f aca="true" t="shared" si="4" ref="N17:S18">SUM(B17,H17)</f>
        <v>882</v>
      </c>
      <c r="O17" s="110">
        <f t="shared" si="4"/>
        <v>3912</v>
      </c>
      <c r="P17" s="110">
        <f t="shared" si="4"/>
        <v>4794</v>
      </c>
      <c r="Q17" s="109">
        <f t="shared" si="4"/>
        <v>261</v>
      </c>
      <c r="R17" s="110">
        <f t="shared" si="4"/>
        <v>1680</v>
      </c>
      <c r="S17" s="110">
        <f t="shared" si="4"/>
        <v>1941</v>
      </c>
      <c r="U17"/>
      <c r="V17"/>
    </row>
    <row r="18" spans="1:22" ht="12.75">
      <c r="A18" s="219" t="s">
        <v>71</v>
      </c>
      <c r="B18" s="109">
        <v>772</v>
      </c>
      <c r="C18" s="110">
        <v>2935</v>
      </c>
      <c r="D18" s="110">
        <f>SUM(B18:C18)</f>
        <v>3707</v>
      </c>
      <c r="E18" s="109">
        <v>154</v>
      </c>
      <c r="F18" s="110">
        <v>847</v>
      </c>
      <c r="G18" s="110">
        <f>SUM(E18:F18)</f>
        <v>1001</v>
      </c>
      <c r="H18" s="109">
        <v>138</v>
      </c>
      <c r="I18" s="110">
        <v>1369</v>
      </c>
      <c r="J18" s="110">
        <f>SUM(H18:I18)</f>
        <v>1507</v>
      </c>
      <c r="K18" s="111">
        <v>123</v>
      </c>
      <c r="L18" s="110">
        <v>601</v>
      </c>
      <c r="M18" s="110">
        <f>SUM(K18:L18)</f>
        <v>724</v>
      </c>
      <c r="N18" s="109">
        <f t="shared" si="4"/>
        <v>910</v>
      </c>
      <c r="O18" s="110">
        <f t="shared" si="4"/>
        <v>4304</v>
      </c>
      <c r="P18" s="110">
        <f t="shared" si="4"/>
        <v>5214</v>
      </c>
      <c r="Q18" s="109">
        <f t="shared" si="4"/>
        <v>277</v>
      </c>
      <c r="R18" s="110">
        <f t="shared" si="4"/>
        <v>1448</v>
      </c>
      <c r="S18" s="110">
        <f t="shared" si="4"/>
        <v>1725</v>
      </c>
      <c r="U18"/>
      <c r="V18"/>
    </row>
    <row r="19" spans="1:22" ht="12.75">
      <c r="A19" s="219" t="s">
        <v>86</v>
      </c>
      <c r="B19" s="109">
        <v>735</v>
      </c>
      <c r="C19" s="110">
        <v>2871</v>
      </c>
      <c r="D19" s="110">
        <f>SUM(B19:C19)</f>
        <v>3606</v>
      </c>
      <c r="E19" s="109">
        <v>145</v>
      </c>
      <c r="F19" s="110">
        <v>928</v>
      </c>
      <c r="G19" s="110">
        <f>SUM(E19:F19)</f>
        <v>1073</v>
      </c>
      <c r="H19" s="109">
        <v>145</v>
      </c>
      <c r="I19" s="110">
        <v>1454</v>
      </c>
      <c r="J19" s="110">
        <f>SUM(H19:I19)</f>
        <v>1599</v>
      </c>
      <c r="K19" s="111">
        <v>87</v>
      </c>
      <c r="L19" s="110">
        <v>593</v>
      </c>
      <c r="M19" s="110">
        <f>SUM(K19:L19)</f>
        <v>680</v>
      </c>
      <c r="N19" s="109">
        <f aca="true" t="shared" si="5" ref="N19:S19">SUM(B19,H19)</f>
        <v>880</v>
      </c>
      <c r="O19" s="110">
        <f t="shared" si="5"/>
        <v>4325</v>
      </c>
      <c r="P19" s="110">
        <f t="shared" si="5"/>
        <v>5205</v>
      </c>
      <c r="Q19" s="109">
        <f t="shared" si="5"/>
        <v>232</v>
      </c>
      <c r="R19" s="110">
        <f t="shared" si="5"/>
        <v>1521</v>
      </c>
      <c r="S19" s="110">
        <f t="shared" si="5"/>
        <v>1753</v>
      </c>
      <c r="U19"/>
      <c r="V19"/>
    </row>
    <row r="20" spans="1:22" ht="12.75">
      <c r="A20" s="219" t="s">
        <v>106</v>
      </c>
      <c r="B20" s="109">
        <v>670</v>
      </c>
      <c r="C20" s="110">
        <v>2566</v>
      </c>
      <c r="D20" s="110">
        <f>SUM(B20:C20)</f>
        <v>3236</v>
      </c>
      <c r="E20" s="109">
        <v>132</v>
      </c>
      <c r="F20" s="110">
        <v>985</v>
      </c>
      <c r="G20" s="110">
        <f>SUM(E20:F20)</f>
        <v>1117</v>
      </c>
      <c r="H20" s="109">
        <v>188</v>
      </c>
      <c r="I20" s="110">
        <v>1747</v>
      </c>
      <c r="J20" s="110">
        <f>SUM(H20:I20)</f>
        <v>1935</v>
      </c>
      <c r="K20" s="111">
        <v>86</v>
      </c>
      <c r="L20" s="110">
        <v>599</v>
      </c>
      <c r="M20" s="110">
        <f>SUM(K20:L20)</f>
        <v>685</v>
      </c>
      <c r="N20" s="109">
        <f aca="true" t="shared" si="6" ref="N20:S20">SUM(B20,H20)</f>
        <v>858</v>
      </c>
      <c r="O20" s="110">
        <f t="shared" si="6"/>
        <v>4313</v>
      </c>
      <c r="P20" s="110">
        <f t="shared" si="6"/>
        <v>5171</v>
      </c>
      <c r="Q20" s="109">
        <f t="shared" si="6"/>
        <v>218</v>
      </c>
      <c r="R20" s="110">
        <f t="shared" si="6"/>
        <v>1584</v>
      </c>
      <c r="S20" s="110">
        <f t="shared" si="6"/>
        <v>1802</v>
      </c>
      <c r="U20"/>
      <c r="V20"/>
    </row>
    <row r="21" spans="1:22" ht="12.75">
      <c r="A21" s="95"/>
      <c r="B21" s="109"/>
      <c r="C21" s="110"/>
      <c r="D21" s="110"/>
      <c r="E21" s="109"/>
      <c r="F21" s="110"/>
      <c r="G21" s="110"/>
      <c r="H21" s="109"/>
      <c r="I21" s="110"/>
      <c r="J21" s="110"/>
      <c r="K21" s="109"/>
      <c r="L21" s="110"/>
      <c r="M21" s="110"/>
      <c r="N21" s="109"/>
      <c r="O21" s="110"/>
      <c r="P21" s="110"/>
      <c r="Q21" s="109"/>
      <c r="R21" s="110"/>
      <c r="S21" s="110"/>
      <c r="U21"/>
      <c r="V21"/>
    </row>
    <row r="22" spans="1:22" ht="12.75">
      <c r="A22" s="94" t="s">
        <v>12</v>
      </c>
      <c r="B22" s="109"/>
      <c r="C22" s="110"/>
      <c r="D22" s="110"/>
      <c r="E22" s="109"/>
      <c r="F22" s="110"/>
      <c r="G22" s="110"/>
      <c r="H22" s="109"/>
      <c r="I22" s="110"/>
      <c r="J22" s="110"/>
      <c r="K22" s="109"/>
      <c r="L22" s="110"/>
      <c r="M22" s="110"/>
      <c r="N22" s="109"/>
      <c r="O22" s="110"/>
      <c r="P22" s="110"/>
      <c r="Q22" s="109"/>
      <c r="R22" s="110"/>
      <c r="S22" s="110"/>
      <c r="U22"/>
      <c r="V22"/>
    </row>
    <row r="23" spans="1:22" ht="11.25" customHeight="1">
      <c r="A23" s="95" t="s">
        <v>49</v>
      </c>
      <c r="B23" s="109">
        <v>14830</v>
      </c>
      <c r="C23" s="110">
        <v>15400</v>
      </c>
      <c r="D23" s="110">
        <f>SUM(B23:C23)</f>
        <v>30230</v>
      </c>
      <c r="E23" s="109">
        <f>4086-35</f>
        <v>4051</v>
      </c>
      <c r="F23" s="110">
        <f>5657-175</f>
        <v>5482</v>
      </c>
      <c r="G23" s="110">
        <f>SUM(E23:F23)</f>
        <v>9533</v>
      </c>
      <c r="H23" s="109">
        <f>3877-15</f>
        <v>3862</v>
      </c>
      <c r="I23" s="110">
        <v>12407</v>
      </c>
      <c r="J23" s="110">
        <f>SUM(H23:I23)</f>
        <v>16269</v>
      </c>
      <c r="K23" s="111">
        <f>2390-11</f>
        <v>2379</v>
      </c>
      <c r="L23" s="110">
        <f>4712-89</f>
        <v>4623</v>
      </c>
      <c r="M23" s="110">
        <f>SUM(K23:L23)</f>
        <v>7002</v>
      </c>
      <c r="N23" s="109">
        <f aca="true" t="shared" si="7" ref="N23:S24">SUM(B23,H23)</f>
        <v>18692</v>
      </c>
      <c r="O23" s="110">
        <f t="shared" si="7"/>
        <v>27807</v>
      </c>
      <c r="P23" s="110">
        <f t="shared" si="7"/>
        <v>46499</v>
      </c>
      <c r="Q23" s="109">
        <f t="shared" si="7"/>
        <v>6430</v>
      </c>
      <c r="R23" s="110">
        <f t="shared" si="7"/>
        <v>10105</v>
      </c>
      <c r="S23" s="110">
        <f t="shared" si="7"/>
        <v>16535</v>
      </c>
      <c r="U23"/>
      <c r="V23"/>
    </row>
    <row r="24" spans="1:22" ht="12.75">
      <c r="A24" s="219" t="s">
        <v>71</v>
      </c>
      <c r="B24" s="109">
        <v>14397</v>
      </c>
      <c r="C24" s="110">
        <v>16127</v>
      </c>
      <c r="D24" s="110">
        <f>SUM(B24:C24)</f>
        <v>30524</v>
      </c>
      <c r="E24" s="109">
        <v>3025</v>
      </c>
      <c r="F24" s="110">
        <v>4204</v>
      </c>
      <c r="G24" s="110">
        <f>SUM(E24:F24)</f>
        <v>7229</v>
      </c>
      <c r="H24" s="109">
        <v>3729</v>
      </c>
      <c r="I24" s="110">
        <v>12589</v>
      </c>
      <c r="J24" s="110">
        <f>SUM(H24:I24)</f>
        <v>16318</v>
      </c>
      <c r="K24" s="111">
        <v>2338</v>
      </c>
      <c r="L24" s="110">
        <v>4520</v>
      </c>
      <c r="M24" s="110">
        <f>SUM(K24:L24)</f>
        <v>6858</v>
      </c>
      <c r="N24" s="109">
        <f t="shared" si="7"/>
        <v>18126</v>
      </c>
      <c r="O24" s="110">
        <f t="shared" si="7"/>
        <v>28716</v>
      </c>
      <c r="P24" s="110">
        <f t="shared" si="7"/>
        <v>46842</v>
      </c>
      <c r="Q24" s="109">
        <f t="shared" si="7"/>
        <v>5363</v>
      </c>
      <c r="R24" s="110">
        <f t="shared" si="7"/>
        <v>8724</v>
      </c>
      <c r="S24" s="110">
        <f t="shared" si="7"/>
        <v>14087</v>
      </c>
      <c r="U24"/>
      <c r="V24"/>
    </row>
    <row r="25" spans="1:22" ht="12.75">
      <c r="A25" s="219" t="s">
        <v>86</v>
      </c>
      <c r="B25" s="109">
        <v>14149</v>
      </c>
      <c r="C25" s="110">
        <v>16921</v>
      </c>
      <c r="D25" s="110">
        <f>SUM(B25:C25)</f>
        <v>31070</v>
      </c>
      <c r="E25" s="109">
        <v>2953</v>
      </c>
      <c r="F25" s="110">
        <v>4327</v>
      </c>
      <c r="G25" s="110">
        <f>SUM(E25:F25)</f>
        <v>7280</v>
      </c>
      <c r="H25" s="109">
        <v>3098</v>
      </c>
      <c r="I25" s="110">
        <v>11554</v>
      </c>
      <c r="J25" s="110">
        <f>SUM(H25:I25)</f>
        <v>14652</v>
      </c>
      <c r="K25" s="111">
        <v>2319</v>
      </c>
      <c r="L25" s="110">
        <v>4310</v>
      </c>
      <c r="M25" s="110">
        <f>SUM(K25:L25)</f>
        <v>6629</v>
      </c>
      <c r="N25" s="109">
        <f aca="true" t="shared" si="8" ref="N25:S25">SUM(B25,H25)</f>
        <v>17247</v>
      </c>
      <c r="O25" s="110">
        <f t="shared" si="8"/>
        <v>28475</v>
      </c>
      <c r="P25" s="110">
        <f t="shared" si="8"/>
        <v>45722</v>
      </c>
      <c r="Q25" s="109">
        <f t="shared" si="8"/>
        <v>5272</v>
      </c>
      <c r="R25" s="110">
        <f t="shared" si="8"/>
        <v>8637</v>
      </c>
      <c r="S25" s="110">
        <f t="shared" si="8"/>
        <v>13909</v>
      </c>
      <c r="U25"/>
      <c r="V25"/>
    </row>
    <row r="26" spans="1:22" ht="12.75">
      <c r="A26" s="219" t="s">
        <v>106</v>
      </c>
      <c r="B26" s="109">
        <f>13582-B38</f>
        <v>13440</v>
      </c>
      <c r="C26" s="110">
        <f>16882-C38</f>
        <v>16273</v>
      </c>
      <c r="D26" s="110">
        <f>SUM(B26:C26)</f>
        <v>29713</v>
      </c>
      <c r="E26" s="109">
        <f>3311-E38</f>
        <v>3279</v>
      </c>
      <c r="F26" s="110">
        <f>4890-F38</f>
        <v>4741</v>
      </c>
      <c r="G26" s="110">
        <f>SUM(E26:F26)</f>
        <v>8020</v>
      </c>
      <c r="H26" s="109">
        <f>3419-H38</f>
        <v>3392</v>
      </c>
      <c r="I26" s="110">
        <f>12536-I38</f>
        <v>12183</v>
      </c>
      <c r="J26" s="110">
        <f>SUM(H26:I26)</f>
        <v>15575</v>
      </c>
      <c r="K26" s="111">
        <f>2318-K38</f>
        <v>2289</v>
      </c>
      <c r="L26" s="110">
        <f>4331-L38</f>
        <v>4197</v>
      </c>
      <c r="M26" s="110">
        <f>SUM(K26:L26)</f>
        <v>6486</v>
      </c>
      <c r="N26" s="109">
        <f aca="true" t="shared" si="9" ref="N26:S26">SUM(B26,H26)</f>
        <v>16832</v>
      </c>
      <c r="O26" s="110">
        <f t="shared" si="9"/>
        <v>28456</v>
      </c>
      <c r="P26" s="110">
        <f t="shared" si="9"/>
        <v>45288</v>
      </c>
      <c r="Q26" s="109">
        <f t="shared" si="9"/>
        <v>5568</v>
      </c>
      <c r="R26" s="110">
        <f t="shared" si="9"/>
        <v>8938</v>
      </c>
      <c r="S26" s="110">
        <f t="shared" si="9"/>
        <v>14506</v>
      </c>
      <c r="U26"/>
      <c r="V26"/>
    </row>
    <row r="27" spans="1:22" ht="15" customHeight="1">
      <c r="A27" s="96"/>
      <c r="B27" s="109"/>
      <c r="C27" s="110"/>
      <c r="D27" s="110"/>
      <c r="E27" s="109"/>
      <c r="F27" s="110"/>
      <c r="G27" s="110"/>
      <c r="H27" s="109"/>
      <c r="I27" s="110"/>
      <c r="J27" s="110"/>
      <c r="K27" s="109"/>
      <c r="L27" s="110"/>
      <c r="M27" s="110"/>
      <c r="N27" s="109"/>
      <c r="O27" s="110"/>
      <c r="P27" s="110"/>
      <c r="Q27" s="109"/>
      <c r="R27" s="110"/>
      <c r="S27" s="110"/>
      <c r="U27"/>
      <c r="V27"/>
    </row>
    <row r="28" spans="1:22" ht="12.75">
      <c r="A28" s="94" t="s">
        <v>13</v>
      </c>
      <c r="B28" s="109"/>
      <c r="C28" s="110"/>
      <c r="D28" s="110"/>
      <c r="E28" s="109"/>
      <c r="F28" s="110"/>
      <c r="G28" s="110"/>
      <c r="H28" s="109"/>
      <c r="I28" s="110"/>
      <c r="J28" s="110"/>
      <c r="K28" s="109"/>
      <c r="L28" s="110"/>
      <c r="M28" s="110"/>
      <c r="N28" s="109"/>
      <c r="O28" s="110"/>
      <c r="P28" s="110"/>
      <c r="Q28" s="109"/>
      <c r="R28" s="110"/>
      <c r="S28" s="110"/>
      <c r="U28"/>
      <c r="V28"/>
    </row>
    <row r="29" spans="1:22" ht="12.75">
      <c r="A29" s="95" t="s">
        <v>49</v>
      </c>
      <c r="B29" s="109">
        <v>1508</v>
      </c>
      <c r="C29" s="110">
        <v>1975</v>
      </c>
      <c r="D29" s="110">
        <f>SUM(B29:C29)</f>
        <v>3483</v>
      </c>
      <c r="E29" s="109">
        <v>490</v>
      </c>
      <c r="F29" s="110">
        <v>837</v>
      </c>
      <c r="G29" s="110">
        <f>SUM(E29:F29)</f>
        <v>1327</v>
      </c>
      <c r="H29" s="109">
        <v>270</v>
      </c>
      <c r="I29" s="110">
        <v>706</v>
      </c>
      <c r="J29" s="110">
        <f>SUM(H29:I29)</f>
        <v>976</v>
      </c>
      <c r="K29" s="111">
        <v>218</v>
      </c>
      <c r="L29" s="110">
        <v>506</v>
      </c>
      <c r="M29" s="110">
        <f>SUM(K29:L29)</f>
        <v>724</v>
      </c>
      <c r="N29" s="109">
        <f>SUM(B29,H29)</f>
        <v>1778</v>
      </c>
      <c r="O29" s="110">
        <f aca="true" t="shared" si="10" ref="O29:S30">SUM(C29,I29)</f>
        <v>2681</v>
      </c>
      <c r="P29" s="110">
        <f t="shared" si="10"/>
        <v>4459</v>
      </c>
      <c r="Q29" s="109">
        <f t="shared" si="10"/>
        <v>708</v>
      </c>
      <c r="R29" s="110">
        <f t="shared" si="10"/>
        <v>1343</v>
      </c>
      <c r="S29" s="110">
        <f t="shared" si="10"/>
        <v>2051</v>
      </c>
      <c r="U29"/>
      <c r="V29"/>
    </row>
    <row r="30" spans="1:22" ht="12.75">
      <c r="A30" s="219" t="s">
        <v>71</v>
      </c>
      <c r="B30" s="109">
        <v>1552</v>
      </c>
      <c r="C30" s="110">
        <v>2374</v>
      </c>
      <c r="D30" s="110">
        <f>SUM(B30:C30)</f>
        <v>3926</v>
      </c>
      <c r="E30" s="109">
        <v>422</v>
      </c>
      <c r="F30" s="110">
        <v>877</v>
      </c>
      <c r="G30" s="110">
        <f>SUM(E30:F30)</f>
        <v>1299</v>
      </c>
      <c r="H30" s="109">
        <v>297</v>
      </c>
      <c r="I30" s="110">
        <v>819</v>
      </c>
      <c r="J30" s="110">
        <f>SUM(H30:I30)</f>
        <v>1116</v>
      </c>
      <c r="K30" s="111">
        <v>250</v>
      </c>
      <c r="L30" s="110">
        <v>525</v>
      </c>
      <c r="M30" s="110">
        <f>SUM(K30:L30)</f>
        <v>775</v>
      </c>
      <c r="N30" s="109">
        <f>SUM(B30,H30)</f>
        <v>1849</v>
      </c>
      <c r="O30" s="110">
        <f t="shared" si="10"/>
        <v>3193</v>
      </c>
      <c r="P30" s="110">
        <f t="shared" si="10"/>
        <v>5042</v>
      </c>
      <c r="Q30" s="109">
        <f t="shared" si="10"/>
        <v>672</v>
      </c>
      <c r="R30" s="110">
        <f t="shared" si="10"/>
        <v>1402</v>
      </c>
      <c r="S30" s="110">
        <f t="shared" si="10"/>
        <v>2074</v>
      </c>
      <c r="U30"/>
      <c r="V30"/>
    </row>
    <row r="31" spans="1:22" ht="12.75">
      <c r="A31" s="219" t="s">
        <v>86</v>
      </c>
      <c r="B31" s="109">
        <v>1554</v>
      </c>
      <c r="C31" s="110">
        <v>2668</v>
      </c>
      <c r="D31" s="110">
        <f>SUM(B31:C31)</f>
        <v>4222</v>
      </c>
      <c r="E31" s="109">
        <v>491</v>
      </c>
      <c r="F31" s="110">
        <v>855</v>
      </c>
      <c r="G31" s="110">
        <f>SUM(E31:F31)</f>
        <v>1346</v>
      </c>
      <c r="H31" s="109">
        <v>303</v>
      </c>
      <c r="I31" s="110">
        <v>945</v>
      </c>
      <c r="J31" s="110">
        <f>SUM(H31:I31)</f>
        <v>1248</v>
      </c>
      <c r="K31" s="111">
        <v>221</v>
      </c>
      <c r="L31" s="110">
        <v>536</v>
      </c>
      <c r="M31" s="110">
        <f>SUM(K31:L31)</f>
        <v>757</v>
      </c>
      <c r="N31" s="109">
        <f>SUM(B31,H31)</f>
        <v>1857</v>
      </c>
      <c r="O31" s="110">
        <f aca="true" t="shared" si="11" ref="O31:S32">SUM(C31,I31)</f>
        <v>3613</v>
      </c>
      <c r="P31" s="110">
        <f t="shared" si="11"/>
        <v>5470</v>
      </c>
      <c r="Q31" s="109">
        <f t="shared" si="11"/>
        <v>712</v>
      </c>
      <c r="R31" s="110">
        <f t="shared" si="11"/>
        <v>1391</v>
      </c>
      <c r="S31" s="110">
        <f t="shared" si="11"/>
        <v>2103</v>
      </c>
      <c r="U31"/>
      <c r="V31"/>
    </row>
    <row r="32" spans="1:22" ht="12.75">
      <c r="A32" s="219" t="s">
        <v>106</v>
      </c>
      <c r="B32" s="109">
        <v>1546</v>
      </c>
      <c r="C32" s="110">
        <v>2604</v>
      </c>
      <c r="D32" s="110">
        <f>SUM(B32:C32)</f>
        <v>4150</v>
      </c>
      <c r="E32" s="109">
        <v>462</v>
      </c>
      <c r="F32" s="110">
        <v>936</v>
      </c>
      <c r="G32" s="110">
        <f>SUM(E32:F32)</f>
        <v>1398</v>
      </c>
      <c r="H32" s="109">
        <v>347</v>
      </c>
      <c r="I32" s="110">
        <v>1127</v>
      </c>
      <c r="J32" s="110">
        <f>SUM(H32:I32)</f>
        <v>1474</v>
      </c>
      <c r="K32" s="111">
        <v>209</v>
      </c>
      <c r="L32" s="110">
        <v>563</v>
      </c>
      <c r="M32" s="110">
        <f>SUM(K32:L32)</f>
        <v>772</v>
      </c>
      <c r="N32" s="109">
        <f>SUM(B32,H32)</f>
        <v>1893</v>
      </c>
      <c r="O32" s="110">
        <f t="shared" si="11"/>
        <v>3731</v>
      </c>
      <c r="P32" s="110">
        <f t="shared" si="11"/>
        <v>5624</v>
      </c>
      <c r="Q32" s="109">
        <f t="shared" si="11"/>
        <v>671</v>
      </c>
      <c r="R32" s="110">
        <f t="shared" si="11"/>
        <v>1499</v>
      </c>
      <c r="S32" s="110">
        <f t="shared" si="11"/>
        <v>2170</v>
      </c>
      <c r="U32"/>
      <c r="V32"/>
    </row>
    <row r="33" spans="1:22" ht="12.75">
      <c r="A33" s="95"/>
      <c r="B33" s="109"/>
      <c r="C33" s="110"/>
      <c r="D33" s="110"/>
      <c r="E33" s="109"/>
      <c r="F33" s="110"/>
      <c r="G33" s="110"/>
      <c r="H33" s="109"/>
      <c r="I33" s="110"/>
      <c r="J33" s="110"/>
      <c r="K33" s="111"/>
      <c r="L33" s="110"/>
      <c r="M33" s="110"/>
      <c r="N33" s="109"/>
      <c r="O33" s="110"/>
      <c r="P33" s="110"/>
      <c r="Q33" s="109"/>
      <c r="R33" s="110"/>
      <c r="S33" s="110"/>
      <c r="U33"/>
      <c r="V33"/>
    </row>
    <row r="34" spans="1:22" ht="14.25" customHeight="1">
      <c r="A34" s="94" t="s">
        <v>120</v>
      </c>
      <c r="B34" s="109"/>
      <c r="C34" s="110"/>
      <c r="D34" s="110"/>
      <c r="E34" s="109"/>
      <c r="F34" s="110"/>
      <c r="G34" s="110"/>
      <c r="H34" s="109"/>
      <c r="I34" s="110"/>
      <c r="J34" s="110"/>
      <c r="K34" s="109"/>
      <c r="L34" s="110"/>
      <c r="M34" s="110"/>
      <c r="N34" s="109"/>
      <c r="O34" s="110"/>
      <c r="P34" s="110"/>
      <c r="Q34" s="109"/>
      <c r="R34" s="110"/>
      <c r="S34" s="110"/>
      <c r="U34"/>
      <c r="V34"/>
    </row>
    <row r="35" spans="1:22" ht="14.25" customHeight="1">
      <c r="A35" s="95" t="s">
        <v>49</v>
      </c>
      <c r="B35" s="109">
        <v>73</v>
      </c>
      <c r="C35" s="110">
        <v>414</v>
      </c>
      <c r="D35" s="110">
        <f>B35+C35</f>
        <v>487</v>
      </c>
      <c r="E35" s="84">
        <v>35</v>
      </c>
      <c r="F35" s="199">
        <v>175</v>
      </c>
      <c r="G35" s="199">
        <f>SUM(E35:F35)</f>
        <v>210</v>
      </c>
      <c r="H35" s="84">
        <v>15</v>
      </c>
      <c r="I35" s="199">
        <v>171</v>
      </c>
      <c r="J35" s="199">
        <f>SUM(H35:I35)</f>
        <v>186</v>
      </c>
      <c r="K35" s="84">
        <v>11</v>
      </c>
      <c r="L35" s="199">
        <v>89</v>
      </c>
      <c r="M35" s="199">
        <f>SUM(K35:L35)</f>
        <v>100</v>
      </c>
      <c r="N35" s="84">
        <f aca="true" t="shared" si="12" ref="N35:O37">SUM(B35,H35)</f>
        <v>88</v>
      </c>
      <c r="O35" s="199">
        <f t="shared" si="12"/>
        <v>585</v>
      </c>
      <c r="P35" s="199">
        <f>SUM(N35:O35)</f>
        <v>673</v>
      </c>
      <c r="Q35" s="84">
        <f aca="true" t="shared" si="13" ref="Q35:R37">SUM(E35,K35)</f>
        <v>46</v>
      </c>
      <c r="R35" s="199">
        <f t="shared" si="13"/>
        <v>264</v>
      </c>
      <c r="S35" s="199">
        <f>SUM(Q35:R35)</f>
        <v>310</v>
      </c>
      <c r="U35"/>
      <c r="V35"/>
    </row>
    <row r="36" spans="1:22" ht="12.75">
      <c r="A36" s="219" t="s">
        <v>71</v>
      </c>
      <c r="B36" s="109">
        <v>89</v>
      </c>
      <c r="C36" s="110">
        <v>506</v>
      </c>
      <c r="D36" s="110">
        <f>B36+C36</f>
        <v>595</v>
      </c>
      <c r="E36" s="109">
        <v>43</v>
      </c>
      <c r="F36" s="110">
        <v>228</v>
      </c>
      <c r="G36" s="199">
        <f>SUM(E36:F36)</f>
        <v>271</v>
      </c>
      <c r="H36" s="109">
        <v>19</v>
      </c>
      <c r="I36" s="110">
        <v>224</v>
      </c>
      <c r="J36" s="199">
        <f>SUM(H36:I36)</f>
        <v>243</v>
      </c>
      <c r="K36" s="111">
        <v>25</v>
      </c>
      <c r="L36" s="110">
        <v>136</v>
      </c>
      <c r="M36" s="199">
        <f>SUM(K36:L36)</f>
        <v>161</v>
      </c>
      <c r="N36" s="109">
        <f t="shared" si="12"/>
        <v>108</v>
      </c>
      <c r="O36" s="110">
        <f t="shared" si="12"/>
        <v>730</v>
      </c>
      <c r="P36" s="110">
        <f>SUM(D36,J36)</f>
        <v>838</v>
      </c>
      <c r="Q36" s="109">
        <f t="shared" si="13"/>
        <v>68</v>
      </c>
      <c r="R36" s="110">
        <f t="shared" si="13"/>
        <v>364</v>
      </c>
      <c r="S36" s="110">
        <f>SUM(G36,M36)</f>
        <v>432</v>
      </c>
      <c r="U36"/>
      <c r="V36"/>
    </row>
    <row r="37" spans="1:22" ht="12.75">
      <c r="A37" s="219" t="s">
        <v>86</v>
      </c>
      <c r="B37" s="109">
        <v>124</v>
      </c>
      <c r="C37" s="110">
        <v>619</v>
      </c>
      <c r="D37" s="110">
        <f>B37+C37</f>
        <v>743</v>
      </c>
      <c r="E37" s="109">
        <v>51</v>
      </c>
      <c r="F37" s="110">
        <v>234</v>
      </c>
      <c r="G37" s="199">
        <f>SUM(E37:F37)</f>
        <v>285</v>
      </c>
      <c r="H37" s="109">
        <v>19</v>
      </c>
      <c r="I37" s="110">
        <v>313</v>
      </c>
      <c r="J37" s="199">
        <f>SUM(H37:I37)</f>
        <v>332</v>
      </c>
      <c r="K37" s="111">
        <v>21</v>
      </c>
      <c r="L37" s="110">
        <v>132</v>
      </c>
      <c r="M37" s="199">
        <f>SUM(K37:L37)</f>
        <v>153</v>
      </c>
      <c r="N37" s="109">
        <f t="shared" si="12"/>
        <v>143</v>
      </c>
      <c r="O37" s="110">
        <f t="shared" si="12"/>
        <v>932</v>
      </c>
      <c r="P37" s="110">
        <f>SUM(D37,J37)</f>
        <v>1075</v>
      </c>
      <c r="Q37" s="109">
        <f t="shared" si="13"/>
        <v>72</v>
      </c>
      <c r="R37" s="110">
        <f t="shared" si="13"/>
        <v>366</v>
      </c>
      <c r="S37" s="110">
        <f>SUM(G37,M37)</f>
        <v>438</v>
      </c>
      <c r="U37"/>
      <c r="V37"/>
    </row>
    <row r="38" spans="1:22" ht="12.75">
      <c r="A38" s="219" t="s">
        <v>106</v>
      </c>
      <c r="B38" s="109">
        <v>142</v>
      </c>
      <c r="C38" s="110">
        <v>609</v>
      </c>
      <c r="D38" s="110">
        <f>B38+C38</f>
        <v>751</v>
      </c>
      <c r="E38" s="109">
        <v>32</v>
      </c>
      <c r="F38" s="110">
        <v>149</v>
      </c>
      <c r="G38" s="199">
        <f>SUM(E38:F38)</f>
        <v>181</v>
      </c>
      <c r="H38" s="109">
        <v>27</v>
      </c>
      <c r="I38" s="110">
        <v>353</v>
      </c>
      <c r="J38" s="199">
        <f>SUM(H38:I38)</f>
        <v>380</v>
      </c>
      <c r="K38" s="111">
        <v>29</v>
      </c>
      <c r="L38" s="110">
        <v>134</v>
      </c>
      <c r="M38" s="199">
        <f>SUM(K38:L38)</f>
        <v>163</v>
      </c>
      <c r="N38" s="109">
        <f>SUM(B38,H38)</f>
        <v>169</v>
      </c>
      <c r="O38" s="110">
        <f>SUM(C38,I38)</f>
        <v>962</v>
      </c>
      <c r="P38" s="110">
        <f>SUM(D38,J38)</f>
        <v>1131</v>
      </c>
      <c r="Q38" s="109">
        <f>SUM(E38,K38)</f>
        <v>61</v>
      </c>
      <c r="R38" s="110">
        <f>SUM(F38,L38)</f>
        <v>283</v>
      </c>
      <c r="S38" s="110">
        <f>SUM(G38,M38)</f>
        <v>344</v>
      </c>
      <c r="U38"/>
      <c r="V38"/>
    </row>
    <row r="39" spans="1:22" ht="13.5" customHeight="1">
      <c r="A39" s="95"/>
      <c r="B39" s="109"/>
      <c r="C39" s="110"/>
      <c r="D39" s="110"/>
      <c r="E39" s="109"/>
      <c r="F39" s="110"/>
      <c r="G39" s="110"/>
      <c r="H39" s="109"/>
      <c r="I39" s="110"/>
      <c r="J39" s="110"/>
      <c r="K39" s="109"/>
      <c r="L39" s="110"/>
      <c r="M39" s="110"/>
      <c r="N39" s="109"/>
      <c r="O39" s="110"/>
      <c r="P39" s="110"/>
      <c r="Q39" s="109"/>
      <c r="R39" s="110"/>
      <c r="S39" s="110"/>
      <c r="U39"/>
      <c r="V39"/>
    </row>
    <row r="40" spans="1:22" ht="12.75">
      <c r="A40" s="94" t="s">
        <v>14</v>
      </c>
      <c r="B40" s="109"/>
      <c r="C40" s="110"/>
      <c r="D40" s="110"/>
      <c r="E40" s="109"/>
      <c r="F40" s="110"/>
      <c r="G40" s="110"/>
      <c r="H40" s="109"/>
      <c r="I40" s="110"/>
      <c r="J40" s="110"/>
      <c r="K40" s="109"/>
      <c r="L40" s="110"/>
      <c r="M40" s="110"/>
      <c r="N40" s="109"/>
      <c r="O40" s="110"/>
      <c r="P40" s="110"/>
      <c r="Q40" s="109"/>
      <c r="R40" s="110"/>
      <c r="S40" s="110"/>
      <c r="U40"/>
      <c r="V40"/>
    </row>
    <row r="41" spans="1:22" ht="12.75">
      <c r="A41" s="95" t="s">
        <v>49</v>
      </c>
      <c r="B41" s="109">
        <v>2051</v>
      </c>
      <c r="C41" s="110">
        <v>1561</v>
      </c>
      <c r="D41" s="110">
        <f>SUM(B41:C41)</f>
        <v>3612</v>
      </c>
      <c r="E41" s="109">
        <v>996</v>
      </c>
      <c r="F41" s="110">
        <v>1056</v>
      </c>
      <c r="G41" s="110">
        <f>SUM(E41:F41)</f>
        <v>2052</v>
      </c>
      <c r="H41" s="109">
        <v>671</v>
      </c>
      <c r="I41" s="110">
        <v>1194</v>
      </c>
      <c r="J41" s="110">
        <f>SUM(H41:I41)</f>
        <v>1865</v>
      </c>
      <c r="K41" s="111">
        <v>1429</v>
      </c>
      <c r="L41" s="110">
        <v>1326</v>
      </c>
      <c r="M41" s="110">
        <f>SUM(K41:L41)</f>
        <v>2755</v>
      </c>
      <c r="N41" s="109">
        <f aca="true" t="shared" si="14" ref="N41:S42">SUM(B41,H41)</f>
        <v>2722</v>
      </c>
      <c r="O41" s="110">
        <f t="shared" si="14"/>
        <v>2755</v>
      </c>
      <c r="P41" s="110">
        <f t="shared" si="14"/>
        <v>5477</v>
      </c>
      <c r="Q41" s="109">
        <f t="shared" si="14"/>
        <v>2425</v>
      </c>
      <c r="R41" s="162">
        <f t="shared" si="14"/>
        <v>2382</v>
      </c>
      <c r="S41" s="110">
        <f t="shared" si="14"/>
        <v>4807</v>
      </c>
      <c r="U41"/>
      <c r="V41"/>
    </row>
    <row r="42" spans="1:22" ht="12.75">
      <c r="A42" s="219" t="s">
        <v>71</v>
      </c>
      <c r="B42" s="109">
        <v>1954</v>
      </c>
      <c r="C42" s="110">
        <v>1597</v>
      </c>
      <c r="D42" s="110">
        <f>SUM(B42:C42)</f>
        <v>3551</v>
      </c>
      <c r="E42" s="109">
        <v>852</v>
      </c>
      <c r="F42" s="110">
        <v>957</v>
      </c>
      <c r="G42" s="110">
        <f>SUM(E42:F42)</f>
        <v>1809</v>
      </c>
      <c r="H42" s="109">
        <v>670</v>
      </c>
      <c r="I42" s="110">
        <v>1184</v>
      </c>
      <c r="J42" s="110">
        <f>SUM(H42:I42)</f>
        <v>1854</v>
      </c>
      <c r="K42" s="111">
        <v>1467</v>
      </c>
      <c r="L42" s="110">
        <v>1472</v>
      </c>
      <c r="M42" s="110">
        <f>SUM(K42:L42)</f>
        <v>2939</v>
      </c>
      <c r="N42" s="109">
        <f t="shared" si="14"/>
        <v>2624</v>
      </c>
      <c r="O42" s="110">
        <f t="shared" si="14"/>
        <v>2781</v>
      </c>
      <c r="P42" s="110">
        <f t="shared" si="14"/>
        <v>5405</v>
      </c>
      <c r="Q42" s="109">
        <f t="shared" si="14"/>
        <v>2319</v>
      </c>
      <c r="R42" s="110">
        <f t="shared" si="14"/>
        <v>2429</v>
      </c>
      <c r="S42" s="110">
        <f t="shared" si="14"/>
        <v>4748</v>
      </c>
      <c r="U42"/>
      <c r="V42"/>
    </row>
    <row r="43" spans="1:22" ht="12.75">
      <c r="A43" s="219" t="s">
        <v>86</v>
      </c>
      <c r="B43" s="109">
        <v>1421</v>
      </c>
      <c r="C43" s="110">
        <v>1384</v>
      </c>
      <c r="D43" s="110">
        <f>SUM(B43:C43)</f>
        <v>2805</v>
      </c>
      <c r="E43" s="109">
        <v>562</v>
      </c>
      <c r="F43" s="110">
        <v>705</v>
      </c>
      <c r="G43" s="110">
        <f>SUM(E43:F43)</f>
        <v>1267</v>
      </c>
      <c r="H43" s="109">
        <v>520</v>
      </c>
      <c r="I43" s="110">
        <v>1249</v>
      </c>
      <c r="J43" s="110">
        <f>SUM(H43:I43)</f>
        <v>1769</v>
      </c>
      <c r="K43" s="111">
        <v>1157</v>
      </c>
      <c r="L43" s="110">
        <v>1330</v>
      </c>
      <c r="M43" s="110">
        <f>SUM(K43:L43)</f>
        <v>2487</v>
      </c>
      <c r="N43" s="109">
        <f aca="true" t="shared" si="15" ref="N43:S43">SUM(B43,H43)</f>
        <v>1941</v>
      </c>
      <c r="O43" s="110">
        <f t="shared" si="15"/>
        <v>2633</v>
      </c>
      <c r="P43" s="110">
        <f t="shared" si="15"/>
        <v>4574</v>
      </c>
      <c r="Q43" s="109">
        <f t="shared" si="15"/>
        <v>1719</v>
      </c>
      <c r="R43" s="110">
        <f t="shared" si="15"/>
        <v>2035</v>
      </c>
      <c r="S43" s="110">
        <f t="shared" si="15"/>
        <v>3754</v>
      </c>
      <c r="U43"/>
      <c r="V43"/>
    </row>
    <row r="44" spans="1:22" ht="12.75">
      <c r="A44" s="219" t="s">
        <v>106</v>
      </c>
      <c r="B44" s="109">
        <v>1265</v>
      </c>
      <c r="C44" s="110">
        <v>1284</v>
      </c>
      <c r="D44" s="110">
        <f>SUM(B44:C44)</f>
        <v>2549</v>
      </c>
      <c r="E44" s="109">
        <v>595</v>
      </c>
      <c r="F44" s="110">
        <v>723</v>
      </c>
      <c r="G44" s="110">
        <f>SUM(E44:F44)</f>
        <v>1318</v>
      </c>
      <c r="H44" s="109">
        <v>610</v>
      </c>
      <c r="I44" s="110">
        <v>1391</v>
      </c>
      <c r="J44" s="110">
        <f>SUM(H44:I44)</f>
        <v>2001</v>
      </c>
      <c r="K44" s="111">
        <v>1260</v>
      </c>
      <c r="L44" s="110">
        <v>1456</v>
      </c>
      <c r="M44" s="110">
        <f>SUM(K44:L44)</f>
        <v>2716</v>
      </c>
      <c r="N44" s="109">
        <f aca="true" t="shared" si="16" ref="N44:S44">SUM(B44,H44)</f>
        <v>1875</v>
      </c>
      <c r="O44" s="110">
        <f t="shared" si="16"/>
        <v>2675</v>
      </c>
      <c r="P44" s="110">
        <f t="shared" si="16"/>
        <v>4550</v>
      </c>
      <c r="Q44" s="109">
        <f t="shared" si="16"/>
        <v>1855</v>
      </c>
      <c r="R44" s="110">
        <f t="shared" si="16"/>
        <v>2179</v>
      </c>
      <c r="S44" s="110">
        <f t="shared" si="16"/>
        <v>4034</v>
      </c>
      <c r="U44"/>
      <c r="V44"/>
    </row>
    <row r="45" spans="1:22" ht="14.25" customHeight="1">
      <c r="A45" s="95"/>
      <c r="B45" s="109"/>
      <c r="C45" s="110"/>
      <c r="D45" s="110"/>
      <c r="E45" s="109"/>
      <c r="F45" s="110"/>
      <c r="G45" s="110"/>
      <c r="H45" s="109"/>
      <c r="I45" s="110"/>
      <c r="J45" s="110"/>
      <c r="K45" s="109"/>
      <c r="L45" s="110"/>
      <c r="M45" s="110"/>
      <c r="N45" s="109"/>
      <c r="O45" s="110"/>
      <c r="P45" s="110"/>
      <c r="Q45" s="109"/>
      <c r="R45" s="110"/>
      <c r="S45" s="110"/>
      <c r="U45"/>
      <c r="V45"/>
    </row>
    <row r="46" spans="1:22" ht="14.25" customHeight="1">
      <c r="A46" s="94" t="s">
        <v>48</v>
      </c>
      <c r="B46" s="109"/>
      <c r="C46" s="110"/>
      <c r="D46" s="110"/>
      <c r="E46" s="109"/>
      <c r="F46" s="110"/>
      <c r="G46" s="110"/>
      <c r="H46" s="109"/>
      <c r="I46" s="110"/>
      <c r="J46" s="110"/>
      <c r="K46" s="109"/>
      <c r="L46" s="110"/>
      <c r="M46" s="110"/>
      <c r="N46" s="109"/>
      <c r="O46" s="110"/>
      <c r="P46" s="110"/>
      <c r="Q46" s="109"/>
      <c r="R46" s="110"/>
      <c r="S46" s="110"/>
      <c r="U46"/>
      <c r="V46"/>
    </row>
    <row r="47" spans="1:22" ht="14.25" customHeight="1">
      <c r="A47" s="95" t="s">
        <v>49</v>
      </c>
      <c r="B47" s="109">
        <v>0</v>
      </c>
      <c r="C47" s="110">
        <v>0</v>
      </c>
      <c r="D47" s="110">
        <f>B47+C47</f>
        <v>0</v>
      </c>
      <c r="E47" s="84">
        <v>70</v>
      </c>
      <c r="F47" s="199">
        <v>189</v>
      </c>
      <c r="G47" s="199">
        <f>SUM(E47:F47)</f>
        <v>259</v>
      </c>
      <c r="H47" s="84">
        <v>0</v>
      </c>
      <c r="I47" s="199">
        <v>0</v>
      </c>
      <c r="J47" s="199">
        <f>SUM(H47:I47)</f>
        <v>0</v>
      </c>
      <c r="K47" s="84">
        <v>55</v>
      </c>
      <c r="L47" s="199">
        <v>458</v>
      </c>
      <c r="M47" s="199">
        <f>SUM(K47:L47)</f>
        <v>513</v>
      </c>
      <c r="N47" s="84">
        <f aca="true" t="shared" si="17" ref="N47:O49">SUM(B47,H47)</f>
        <v>0</v>
      </c>
      <c r="O47" s="199">
        <f t="shared" si="17"/>
        <v>0</v>
      </c>
      <c r="P47" s="199">
        <f>SUM(N47:O47)</f>
        <v>0</v>
      </c>
      <c r="Q47" s="84">
        <f aca="true" t="shared" si="18" ref="Q47:R49">SUM(E47,K47)</f>
        <v>125</v>
      </c>
      <c r="R47" s="199">
        <f t="shared" si="18"/>
        <v>647</v>
      </c>
      <c r="S47" s="199">
        <f>SUM(Q47:R47)</f>
        <v>772</v>
      </c>
      <c r="U47"/>
      <c r="V47"/>
    </row>
    <row r="48" spans="1:22" ht="12.75">
      <c r="A48" s="219" t="s">
        <v>71</v>
      </c>
      <c r="B48" s="109">
        <v>0</v>
      </c>
      <c r="C48" s="110">
        <v>0</v>
      </c>
      <c r="D48" s="110">
        <f>B48+C48</f>
        <v>0</v>
      </c>
      <c r="E48" s="109">
        <v>64</v>
      </c>
      <c r="F48" s="110">
        <v>181</v>
      </c>
      <c r="G48" s="199">
        <f>SUM(E48:F48)</f>
        <v>245</v>
      </c>
      <c r="H48" s="109">
        <v>0</v>
      </c>
      <c r="I48" s="110">
        <v>0</v>
      </c>
      <c r="J48" s="199">
        <f>SUM(H48:I48)</f>
        <v>0</v>
      </c>
      <c r="K48" s="111">
        <v>67</v>
      </c>
      <c r="L48" s="110">
        <v>522</v>
      </c>
      <c r="M48" s="199">
        <f>SUM(K48:L48)</f>
        <v>589</v>
      </c>
      <c r="N48" s="109">
        <f t="shared" si="17"/>
        <v>0</v>
      </c>
      <c r="O48" s="110">
        <f t="shared" si="17"/>
        <v>0</v>
      </c>
      <c r="P48" s="110">
        <f>SUM(D48,J48)</f>
        <v>0</v>
      </c>
      <c r="Q48" s="109">
        <f t="shared" si="18"/>
        <v>131</v>
      </c>
      <c r="R48" s="110">
        <f t="shared" si="18"/>
        <v>703</v>
      </c>
      <c r="S48" s="110">
        <f>SUM(G48,M48)</f>
        <v>834</v>
      </c>
      <c r="U48"/>
      <c r="V48"/>
    </row>
    <row r="49" spans="1:22" ht="12.75">
      <c r="A49" s="219" t="s">
        <v>86</v>
      </c>
      <c r="B49" s="109">
        <v>0</v>
      </c>
      <c r="C49" s="110">
        <v>0</v>
      </c>
      <c r="D49" s="206">
        <f>B49+C49</f>
        <v>0</v>
      </c>
      <c r="E49" s="162">
        <v>79</v>
      </c>
      <c r="F49" s="110">
        <v>232</v>
      </c>
      <c r="G49" s="199">
        <f>SUM(E49:F49)</f>
        <v>311</v>
      </c>
      <c r="H49" s="109">
        <v>0</v>
      </c>
      <c r="I49" s="110">
        <v>0</v>
      </c>
      <c r="J49" s="199">
        <f>SUM(H49:I49)</f>
        <v>0</v>
      </c>
      <c r="K49" s="111">
        <v>75</v>
      </c>
      <c r="L49" s="110">
        <v>702</v>
      </c>
      <c r="M49" s="199">
        <f>SUM(K49:L49)</f>
        <v>777</v>
      </c>
      <c r="N49" s="109">
        <f t="shared" si="17"/>
        <v>0</v>
      </c>
      <c r="O49" s="110">
        <f t="shared" si="17"/>
        <v>0</v>
      </c>
      <c r="P49" s="110">
        <f>SUM(D49,J49)</f>
        <v>0</v>
      </c>
      <c r="Q49" s="109">
        <f t="shared" si="18"/>
        <v>154</v>
      </c>
      <c r="R49" s="110">
        <f t="shared" si="18"/>
        <v>934</v>
      </c>
      <c r="S49" s="110">
        <f>SUM(G49,M49)</f>
        <v>1088</v>
      </c>
      <c r="U49"/>
      <c r="V49"/>
    </row>
    <row r="50" spans="1:22" ht="12.75">
      <c r="A50" s="219" t="s">
        <v>106</v>
      </c>
      <c r="B50" s="109">
        <v>61</v>
      </c>
      <c r="C50" s="110">
        <v>144</v>
      </c>
      <c r="D50" s="206">
        <f>B50+C50</f>
        <v>205</v>
      </c>
      <c r="E50" s="162">
        <v>49</v>
      </c>
      <c r="F50" s="110">
        <v>164</v>
      </c>
      <c r="G50" s="199">
        <f>SUM(E50:F50)</f>
        <v>213</v>
      </c>
      <c r="H50" s="109">
        <v>53</v>
      </c>
      <c r="I50" s="110">
        <v>423</v>
      </c>
      <c r="J50" s="199">
        <f>SUM(H50:I50)</f>
        <v>476</v>
      </c>
      <c r="K50" s="111">
        <v>24</v>
      </c>
      <c r="L50" s="110">
        <v>314</v>
      </c>
      <c r="M50" s="199">
        <f>SUM(K50:L50)</f>
        <v>338</v>
      </c>
      <c r="N50" s="109">
        <f>SUM(B50,H50)</f>
        <v>114</v>
      </c>
      <c r="O50" s="110">
        <f>SUM(C50,I50)</f>
        <v>567</v>
      </c>
      <c r="P50" s="110">
        <f>SUM(D50,J50)</f>
        <v>681</v>
      </c>
      <c r="Q50" s="109">
        <f>SUM(E50,K50)</f>
        <v>73</v>
      </c>
      <c r="R50" s="110">
        <f>SUM(F50,L50)</f>
        <v>478</v>
      </c>
      <c r="S50" s="110">
        <f>SUM(G50,M50)</f>
        <v>551</v>
      </c>
      <c r="U50"/>
      <c r="V50"/>
    </row>
    <row r="51" spans="1:22" ht="14.25" customHeight="1">
      <c r="A51" s="95"/>
      <c r="B51" s="109"/>
      <c r="C51" s="110"/>
      <c r="D51" s="206"/>
      <c r="H51" s="109"/>
      <c r="I51" s="110"/>
      <c r="J51" s="110"/>
      <c r="K51" s="109"/>
      <c r="L51" s="110"/>
      <c r="M51" s="110"/>
      <c r="N51" s="109"/>
      <c r="O51" s="110"/>
      <c r="P51" s="110"/>
      <c r="Q51" s="109"/>
      <c r="R51" s="110"/>
      <c r="S51" s="110"/>
      <c r="U51"/>
      <c r="V51"/>
    </row>
    <row r="52" spans="1:22" ht="12.75">
      <c r="A52" s="1" t="s">
        <v>45</v>
      </c>
      <c r="B52" s="109"/>
      <c r="C52" s="110"/>
      <c r="D52" s="110"/>
      <c r="E52" s="109"/>
      <c r="F52" s="110"/>
      <c r="G52" s="110"/>
      <c r="H52" s="109"/>
      <c r="I52" s="110"/>
      <c r="J52" s="110"/>
      <c r="K52" s="109"/>
      <c r="L52" s="110"/>
      <c r="M52" s="110"/>
      <c r="N52" s="109"/>
      <c r="O52" s="110"/>
      <c r="P52" s="110"/>
      <c r="Q52" s="109"/>
      <c r="R52" s="110"/>
      <c r="S52" s="110"/>
      <c r="U52"/>
      <c r="V52"/>
    </row>
    <row r="53" spans="1:22" ht="12.75">
      <c r="A53" s="95" t="s">
        <v>49</v>
      </c>
      <c r="B53" s="109">
        <v>667</v>
      </c>
      <c r="C53" s="110">
        <v>951</v>
      </c>
      <c r="D53" s="110">
        <f>SUM(B53:C53)</f>
        <v>1618</v>
      </c>
      <c r="E53" s="109">
        <v>173</v>
      </c>
      <c r="F53" s="110">
        <v>260</v>
      </c>
      <c r="G53" s="110">
        <f>SUM(E53:F53)</f>
        <v>433</v>
      </c>
      <c r="H53" s="109">
        <v>367</v>
      </c>
      <c r="I53" s="110">
        <v>1233</v>
      </c>
      <c r="J53" s="110">
        <f>SUM(H53:I53)</f>
        <v>1600</v>
      </c>
      <c r="K53" s="111">
        <v>787</v>
      </c>
      <c r="L53" s="110">
        <v>1126</v>
      </c>
      <c r="M53" s="110">
        <f>SUM(K53:L53)</f>
        <v>1913</v>
      </c>
      <c r="N53" s="109">
        <f aca="true" t="shared" si="19" ref="N53:S54">SUM(B53,H53)</f>
        <v>1034</v>
      </c>
      <c r="O53" s="110">
        <f t="shared" si="19"/>
        <v>2184</v>
      </c>
      <c r="P53" s="110">
        <f t="shared" si="19"/>
        <v>3218</v>
      </c>
      <c r="Q53" s="109">
        <f t="shared" si="19"/>
        <v>960</v>
      </c>
      <c r="R53" s="110">
        <f t="shared" si="19"/>
        <v>1386</v>
      </c>
      <c r="S53" s="110">
        <f t="shared" si="19"/>
        <v>2346</v>
      </c>
      <c r="U53"/>
      <c r="V53"/>
    </row>
    <row r="54" spans="1:22" ht="12.75">
      <c r="A54" s="219" t="s">
        <v>72</v>
      </c>
      <c r="B54" s="109">
        <v>654</v>
      </c>
      <c r="C54" s="110">
        <v>1016</v>
      </c>
      <c r="D54" s="110">
        <f>SUM(B54:C54)</f>
        <v>1670</v>
      </c>
      <c r="E54" s="109">
        <v>128</v>
      </c>
      <c r="F54" s="110">
        <v>264</v>
      </c>
      <c r="G54" s="110">
        <f>SUM(E54:F54)</f>
        <v>392</v>
      </c>
      <c r="H54" s="109">
        <v>444</v>
      </c>
      <c r="I54" s="110">
        <v>1337</v>
      </c>
      <c r="J54" s="110">
        <f>SUM(H54:I54)</f>
        <v>1781</v>
      </c>
      <c r="K54" s="111">
        <v>782</v>
      </c>
      <c r="L54" s="110">
        <v>1118</v>
      </c>
      <c r="M54" s="110">
        <f>SUM(K54:L54)</f>
        <v>1900</v>
      </c>
      <c r="N54" s="109">
        <f t="shared" si="19"/>
        <v>1098</v>
      </c>
      <c r="O54" s="110">
        <f t="shared" si="19"/>
        <v>2353</v>
      </c>
      <c r="P54" s="110">
        <f t="shared" si="19"/>
        <v>3451</v>
      </c>
      <c r="Q54" s="109">
        <f t="shared" si="19"/>
        <v>910</v>
      </c>
      <c r="R54" s="110">
        <f t="shared" si="19"/>
        <v>1382</v>
      </c>
      <c r="S54" s="110">
        <f t="shared" si="19"/>
        <v>2292</v>
      </c>
      <c r="U54"/>
      <c r="V54"/>
    </row>
    <row r="55" spans="1:22" ht="12.75">
      <c r="A55" s="219" t="s">
        <v>86</v>
      </c>
      <c r="B55" s="109">
        <v>634</v>
      </c>
      <c r="C55" s="110">
        <v>972</v>
      </c>
      <c r="D55" s="110">
        <f>SUM(B55:C55)</f>
        <v>1606</v>
      </c>
      <c r="E55" s="109">
        <v>146</v>
      </c>
      <c r="F55" s="110">
        <v>345</v>
      </c>
      <c r="G55" s="110">
        <f>SUM(E55:F55)</f>
        <v>491</v>
      </c>
      <c r="H55" s="109">
        <v>445</v>
      </c>
      <c r="I55" s="110">
        <v>1434</v>
      </c>
      <c r="J55" s="110">
        <f>SUM(H55:I55)</f>
        <v>1879</v>
      </c>
      <c r="K55" s="111">
        <v>738</v>
      </c>
      <c r="L55" s="110">
        <v>1192</v>
      </c>
      <c r="M55" s="110">
        <f>SUM(K55:L55)</f>
        <v>1930</v>
      </c>
      <c r="N55" s="109">
        <f aca="true" t="shared" si="20" ref="N55:S55">SUM(B55,H55)</f>
        <v>1079</v>
      </c>
      <c r="O55" s="110">
        <f t="shared" si="20"/>
        <v>2406</v>
      </c>
      <c r="P55" s="110">
        <f t="shared" si="20"/>
        <v>3485</v>
      </c>
      <c r="Q55" s="109">
        <f t="shared" si="20"/>
        <v>884</v>
      </c>
      <c r="R55" s="110">
        <f t="shared" si="20"/>
        <v>1537</v>
      </c>
      <c r="S55" s="110">
        <f t="shared" si="20"/>
        <v>2421</v>
      </c>
      <c r="U55"/>
      <c r="V55"/>
    </row>
    <row r="56" spans="1:22" ht="12.75">
      <c r="A56" s="219" t="s">
        <v>106</v>
      </c>
      <c r="B56" s="109">
        <v>602</v>
      </c>
      <c r="C56" s="110">
        <v>977</v>
      </c>
      <c r="D56" s="110">
        <f>SUM(B56:C56)</f>
        <v>1579</v>
      </c>
      <c r="E56" s="109">
        <v>187</v>
      </c>
      <c r="F56" s="110">
        <v>372</v>
      </c>
      <c r="G56" s="110">
        <f>SUM(E56:F56)</f>
        <v>559</v>
      </c>
      <c r="H56" s="109">
        <v>461</v>
      </c>
      <c r="I56" s="110">
        <v>1490</v>
      </c>
      <c r="J56" s="110">
        <f>SUM(H56:I56)</f>
        <v>1951</v>
      </c>
      <c r="K56" s="111">
        <v>776</v>
      </c>
      <c r="L56" s="110">
        <v>1281</v>
      </c>
      <c r="M56" s="110">
        <f>SUM(K56:L56)</f>
        <v>2057</v>
      </c>
      <c r="N56" s="109">
        <f aca="true" t="shared" si="21" ref="N56:S56">SUM(B56,H56)</f>
        <v>1063</v>
      </c>
      <c r="O56" s="110">
        <f t="shared" si="21"/>
        <v>2467</v>
      </c>
      <c r="P56" s="110">
        <f t="shared" si="21"/>
        <v>3530</v>
      </c>
      <c r="Q56" s="109">
        <f t="shared" si="21"/>
        <v>963</v>
      </c>
      <c r="R56" s="110">
        <f t="shared" si="21"/>
        <v>1653</v>
      </c>
      <c r="S56" s="110">
        <f t="shared" si="21"/>
        <v>2616</v>
      </c>
      <c r="U56"/>
      <c r="V56"/>
    </row>
    <row r="57" spans="1:22" ht="14.25" customHeight="1">
      <c r="A57" s="95"/>
      <c r="B57" s="109"/>
      <c r="C57" s="110"/>
      <c r="D57" s="110"/>
      <c r="E57" s="109"/>
      <c r="F57" s="110"/>
      <c r="G57" s="110"/>
      <c r="H57" s="109"/>
      <c r="I57" s="110"/>
      <c r="J57" s="110"/>
      <c r="K57" s="109"/>
      <c r="L57" s="110"/>
      <c r="M57" s="110"/>
      <c r="N57" s="109"/>
      <c r="O57" s="110"/>
      <c r="P57" s="110"/>
      <c r="Q57" s="109"/>
      <c r="R57" s="110"/>
      <c r="S57" s="110"/>
      <c r="U57"/>
      <c r="V57"/>
    </row>
    <row r="58" spans="1:22" ht="12.75">
      <c r="A58" s="1" t="s">
        <v>46</v>
      </c>
      <c r="B58" s="109"/>
      <c r="C58" s="110"/>
      <c r="D58" s="110"/>
      <c r="E58" s="109"/>
      <c r="F58" s="110"/>
      <c r="G58" s="110"/>
      <c r="H58" s="109"/>
      <c r="I58" s="110"/>
      <c r="J58" s="110"/>
      <c r="K58" s="109"/>
      <c r="L58" s="110"/>
      <c r="M58" s="110"/>
      <c r="N58" s="109"/>
      <c r="O58" s="110"/>
      <c r="P58" s="110"/>
      <c r="Q58" s="109"/>
      <c r="R58" s="110"/>
      <c r="S58" s="110"/>
      <c r="U58"/>
      <c r="V58"/>
    </row>
    <row r="59" spans="1:22" ht="12.75">
      <c r="A59" s="95" t="s">
        <v>49</v>
      </c>
      <c r="B59" s="109">
        <v>152</v>
      </c>
      <c r="C59" s="110">
        <v>123</v>
      </c>
      <c r="D59" s="110">
        <f>SUM(B59:C59)</f>
        <v>275</v>
      </c>
      <c r="E59" s="109">
        <v>36</v>
      </c>
      <c r="F59" s="110">
        <v>52</v>
      </c>
      <c r="G59" s="110">
        <f>SUM(E59:F59)</f>
        <v>88</v>
      </c>
      <c r="H59" s="109">
        <v>94</v>
      </c>
      <c r="I59" s="110">
        <v>131</v>
      </c>
      <c r="J59" s="110">
        <f>SUM(H59:I59)</f>
        <v>225</v>
      </c>
      <c r="K59" s="111">
        <v>445</v>
      </c>
      <c r="L59" s="110">
        <v>220</v>
      </c>
      <c r="M59" s="110">
        <f>SUM(K59:L59)</f>
        <v>665</v>
      </c>
      <c r="N59" s="109">
        <f aca="true" t="shared" si="22" ref="N59:S60">SUM(B59,H59)</f>
        <v>246</v>
      </c>
      <c r="O59" s="110">
        <f t="shared" si="22"/>
        <v>254</v>
      </c>
      <c r="P59" s="110">
        <f t="shared" si="22"/>
        <v>500</v>
      </c>
      <c r="Q59" s="109">
        <f t="shared" si="22"/>
        <v>481</v>
      </c>
      <c r="R59" s="110">
        <f t="shared" si="22"/>
        <v>272</v>
      </c>
      <c r="S59" s="110">
        <f t="shared" si="22"/>
        <v>753</v>
      </c>
      <c r="U59"/>
      <c r="V59"/>
    </row>
    <row r="60" spans="1:22" ht="12.75">
      <c r="A60" s="219" t="s">
        <v>72</v>
      </c>
      <c r="B60" s="109">
        <v>163</v>
      </c>
      <c r="C60" s="110">
        <v>155</v>
      </c>
      <c r="D60" s="110">
        <f>SUM(B60:C60)</f>
        <v>318</v>
      </c>
      <c r="E60" s="109">
        <v>17</v>
      </c>
      <c r="F60" s="110">
        <v>44</v>
      </c>
      <c r="G60" s="110">
        <f>SUM(E60:F60)</f>
        <v>61</v>
      </c>
      <c r="H60" s="109">
        <v>107</v>
      </c>
      <c r="I60" s="110">
        <v>150</v>
      </c>
      <c r="J60" s="110">
        <f>SUM(H60:I60)</f>
        <v>257</v>
      </c>
      <c r="K60" s="111">
        <v>379</v>
      </c>
      <c r="L60" s="110">
        <v>200</v>
      </c>
      <c r="M60" s="110">
        <f>SUM(K60:L60)</f>
        <v>579</v>
      </c>
      <c r="N60" s="109">
        <f t="shared" si="22"/>
        <v>270</v>
      </c>
      <c r="O60" s="110">
        <f t="shared" si="22"/>
        <v>305</v>
      </c>
      <c r="P60" s="110">
        <f t="shared" si="22"/>
        <v>575</v>
      </c>
      <c r="Q60" s="109">
        <f t="shared" si="22"/>
        <v>396</v>
      </c>
      <c r="R60" s="110">
        <f t="shared" si="22"/>
        <v>244</v>
      </c>
      <c r="S60" s="110">
        <f t="shared" si="22"/>
        <v>640</v>
      </c>
      <c r="U60"/>
      <c r="V60"/>
    </row>
    <row r="61" spans="1:22" ht="12.75">
      <c r="A61" s="219" t="s">
        <v>86</v>
      </c>
      <c r="B61" s="109">
        <v>140</v>
      </c>
      <c r="C61" s="110">
        <v>155</v>
      </c>
      <c r="D61" s="110">
        <f>SUM(B61:C61)</f>
        <v>295</v>
      </c>
      <c r="E61" s="109">
        <v>38</v>
      </c>
      <c r="F61" s="110">
        <v>54</v>
      </c>
      <c r="G61" s="110">
        <f>SUM(E61:F61)</f>
        <v>92</v>
      </c>
      <c r="H61" s="109">
        <v>118</v>
      </c>
      <c r="I61" s="110">
        <v>146</v>
      </c>
      <c r="J61" s="110">
        <f>SUM(H61:I61)</f>
        <v>264</v>
      </c>
      <c r="K61" s="111">
        <v>311</v>
      </c>
      <c r="L61" s="110">
        <v>234</v>
      </c>
      <c r="M61" s="110">
        <f>SUM(K61:L61)</f>
        <v>545</v>
      </c>
      <c r="N61" s="109">
        <f aca="true" t="shared" si="23" ref="N61:S61">SUM(B61,H61)</f>
        <v>258</v>
      </c>
      <c r="O61" s="110">
        <f t="shared" si="23"/>
        <v>301</v>
      </c>
      <c r="P61" s="110">
        <f t="shared" si="23"/>
        <v>559</v>
      </c>
      <c r="Q61" s="109">
        <f t="shared" si="23"/>
        <v>349</v>
      </c>
      <c r="R61" s="110">
        <f t="shared" si="23"/>
        <v>288</v>
      </c>
      <c r="S61" s="110">
        <f t="shared" si="23"/>
        <v>637</v>
      </c>
      <c r="U61"/>
      <c r="V61"/>
    </row>
    <row r="62" spans="1:22" ht="12.75">
      <c r="A62" s="219" t="s">
        <v>106</v>
      </c>
      <c r="B62" s="109">
        <v>128</v>
      </c>
      <c r="C62" s="110">
        <v>122</v>
      </c>
      <c r="D62" s="110">
        <f>SUM(B62:C62)</f>
        <v>250</v>
      </c>
      <c r="E62" s="109">
        <v>44</v>
      </c>
      <c r="F62" s="110">
        <v>57</v>
      </c>
      <c r="G62" s="110">
        <f>SUM(E62:F62)</f>
        <v>101</v>
      </c>
      <c r="H62" s="109">
        <v>108</v>
      </c>
      <c r="I62" s="110">
        <v>142</v>
      </c>
      <c r="J62" s="110">
        <f>SUM(H62:I62)</f>
        <v>250</v>
      </c>
      <c r="K62" s="84">
        <v>316</v>
      </c>
      <c r="L62" s="199">
        <v>227</v>
      </c>
      <c r="M62" s="110">
        <f>SUM(K62:L62)</f>
        <v>543</v>
      </c>
      <c r="N62" s="109">
        <f aca="true" t="shared" si="24" ref="N62:S62">SUM(B62,H62)</f>
        <v>236</v>
      </c>
      <c r="O62" s="110">
        <f t="shared" si="24"/>
        <v>264</v>
      </c>
      <c r="P62" s="110">
        <f t="shared" si="24"/>
        <v>500</v>
      </c>
      <c r="Q62" s="109">
        <f t="shared" si="24"/>
        <v>360</v>
      </c>
      <c r="R62" s="110">
        <f t="shared" si="24"/>
        <v>284</v>
      </c>
      <c r="S62" s="110">
        <f t="shared" si="24"/>
        <v>644</v>
      </c>
      <c r="U62"/>
      <c r="V62"/>
    </row>
    <row r="63" spans="1:22" ht="15.75" customHeight="1">
      <c r="A63" s="95"/>
      <c r="B63" s="109"/>
      <c r="C63" s="110"/>
      <c r="D63" s="110"/>
      <c r="E63" s="109"/>
      <c r="F63" s="110"/>
      <c r="G63" s="110"/>
      <c r="H63" s="109"/>
      <c r="I63" s="110"/>
      <c r="J63" s="110"/>
      <c r="K63" s="109"/>
      <c r="L63" s="110"/>
      <c r="M63" s="110"/>
      <c r="N63" s="109"/>
      <c r="O63" s="110"/>
      <c r="P63" s="110"/>
      <c r="Q63" s="109"/>
      <c r="R63" s="110"/>
      <c r="S63" s="110"/>
      <c r="U63"/>
      <c r="V63"/>
    </row>
    <row r="64" spans="1:22" ht="12.75">
      <c r="A64" s="94" t="s">
        <v>15</v>
      </c>
      <c r="B64" s="109"/>
      <c r="C64" s="110"/>
      <c r="D64" s="110"/>
      <c r="E64" s="109"/>
      <c r="F64" s="110"/>
      <c r="G64" s="110"/>
      <c r="H64" s="109"/>
      <c r="I64" s="110"/>
      <c r="J64" s="110"/>
      <c r="K64" s="109"/>
      <c r="L64" s="110"/>
      <c r="M64" s="110"/>
      <c r="N64" s="109"/>
      <c r="O64" s="110"/>
      <c r="P64" s="110"/>
      <c r="Q64" s="109"/>
      <c r="R64" s="110"/>
      <c r="S64" s="110"/>
      <c r="U64"/>
      <c r="V64"/>
    </row>
    <row r="65" spans="1:22" ht="12.75">
      <c r="A65" s="95" t="s">
        <v>49</v>
      </c>
      <c r="B65" s="109">
        <v>924</v>
      </c>
      <c r="C65" s="110">
        <v>778</v>
      </c>
      <c r="D65" s="110">
        <f>SUM(B65:C65)</f>
        <v>1702</v>
      </c>
      <c r="E65" s="109">
        <v>89</v>
      </c>
      <c r="F65" s="110">
        <v>69</v>
      </c>
      <c r="G65" s="110">
        <f>SUM(E65:F65)</f>
        <v>158</v>
      </c>
      <c r="H65" s="109">
        <v>622</v>
      </c>
      <c r="I65" s="110">
        <v>1251</v>
      </c>
      <c r="J65" s="110">
        <f>SUM(H65:I65)</f>
        <v>1873</v>
      </c>
      <c r="K65" s="111">
        <v>647</v>
      </c>
      <c r="L65" s="110">
        <v>901</v>
      </c>
      <c r="M65" s="110">
        <f>SUM(K65:L65)</f>
        <v>1548</v>
      </c>
      <c r="N65" s="109">
        <f aca="true" t="shared" si="25" ref="N65:S66">SUM(B65,H65)</f>
        <v>1546</v>
      </c>
      <c r="O65" s="110">
        <f t="shared" si="25"/>
        <v>2029</v>
      </c>
      <c r="P65" s="110">
        <f t="shared" si="25"/>
        <v>3575</v>
      </c>
      <c r="Q65" s="109">
        <f t="shared" si="25"/>
        <v>736</v>
      </c>
      <c r="R65" s="110">
        <f t="shared" si="25"/>
        <v>970</v>
      </c>
      <c r="S65" s="110">
        <f t="shared" si="25"/>
        <v>1706</v>
      </c>
      <c r="U65"/>
      <c r="V65"/>
    </row>
    <row r="66" spans="1:22" ht="12.75">
      <c r="A66" s="219" t="s">
        <v>71</v>
      </c>
      <c r="B66" s="109">
        <v>926</v>
      </c>
      <c r="C66" s="110">
        <v>823</v>
      </c>
      <c r="D66" s="110">
        <f>SUM(B66:C66)</f>
        <v>1749</v>
      </c>
      <c r="E66" s="109">
        <v>63</v>
      </c>
      <c r="F66" s="110">
        <v>72</v>
      </c>
      <c r="G66" s="110">
        <f>SUM(E66:F66)</f>
        <v>135</v>
      </c>
      <c r="H66" s="109">
        <v>674</v>
      </c>
      <c r="I66" s="110">
        <v>1312</v>
      </c>
      <c r="J66" s="110">
        <f>SUM(H66:I66)</f>
        <v>1986</v>
      </c>
      <c r="K66" s="111">
        <v>608</v>
      </c>
      <c r="L66" s="110">
        <v>909</v>
      </c>
      <c r="M66" s="110">
        <f>SUM(K66:L66)</f>
        <v>1517</v>
      </c>
      <c r="N66" s="109">
        <f t="shared" si="25"/>
        <v>1600</v>
      </c>
      <c r="O66" s="110">
        <f t="shared" si="25"/>
        <v>2135</v>
      </c>
      <c r="P66" s="110">
        <f t="shared" si="25"/>
        <v>3735</v>
      </c>
      <c r="Q66" s="109">
        <f t="shared" si="25"/>
        <v>671</v>
      </c>
      <c r="R66" s="110">
        <f t="shared" si="25"/>
        <v>981</v>
      </c>
      <c r="S66" s="110">
        <f t="shared" si="25"/>
        <v>1652</v>
      </c>
      <c r="U66"/>
      <c r="V66"/>
    </row>
    <row r="67" spans="1:22" ht="12.75">
      <c r="A67" s="219" t="s">
        <v>86</v>
      </c>
      <c r="B67" s="109">
        <v>890</v>
      </c>
      <c r="C67" s="110">
        <v>866</v>
      </c>
      <c r="D67" s="206">
        <f>SUM(B67:C67)</f>
        <v>1756</v>
      </c>
      <c r="E67" s="162">
        <v>63</v>
      </c>
      <c r="F67" s="110">
        <v>83</v>
      </c>
      <c r="G67" s="206">
        <f>SUM(E67:F67)</f>
        <v>146</v>
      </c>
      <c r="H67" s="162">
        <v>680</v>
      </c>
      <c r="I67" s="110">
        <v>1373</v>
      </c>
      <c r="J67" s="206">
        <f>SUM(H67:I67)</f>
        <v>2053</v>
      </c>
      <c r="K67" s="163">
        <v>587</v>
      </c>
      <c r="L67" s="110">
        <v>858</v>
      </c>
      <c r="M67" s="110">
        <f>SUM(K67:L67)</f>
        <v>1445</v>
      </c>
      <c r="N67" s="109">
        <f aca="true" t="shared" si="26" ref="N67:S67">SUM(B67,H67)</f>
        <v>1570</v>
      </c>
      <c r="O67" s="110">
        <f t="shared" si="26"/>
        <v>2239</v>
      </c>
      <c r="P67" s="110">
        <f t="shared" si="26"/>
        <v>3809</v>
      </c>
      <c r="Q67" s="109">
        <f t="shared" si="26"/>
        <v>650</v>
      </c>
      <c r="R67" s="110">
        <f t="shared" si="26"/>
        <v>941</v>
      </c>
      <c r="S67" s="110">
        <f t="shared" si="26"/>
        <v>1591</v>
      </c>
      <c r="U67"/>
      <c r="V67"/>
    </row>
    <row r="68" spans="1:22" ht="12.75">
      <c r="A68" s="219" t="s">
        <v>106</v>
      </c>
      <c r="B68" s="109">
        <v>855</v>
      </c>
      <c r="C68" s="110">
        <v>881</v>
      </c>
      <c r="D68" s="206">
        <f>SUM(B68:C68)</f>
        <v>1736</v>
      </c>
      <c r="E68" s="162">
        <v>56</v>
      </c>
      <c r="F68" s="110">
        <v>71</v>
      </c>
      <c r="G68" s="206">
        <f>SUM(E68:F68)</f>
        <v>127</v>
      </c>
      <c r="H68" s="162">
        <v>731</v>
      </c>
      <c r="I68" s="110">
        <v>1414</v>
      </c>
      <c r="J68" s="206">
        <f>SUM(H68:I68)</f>
        <v>2145</v>
      </c>
      <c r="K68" s="163">
        <v>568</v>
      </c>
      <c r="L68" s="110">
        <v>868</v>
      </c>
      <c r="M68" s="206">
        <f>SUM(K68:L68)</f>
        <v>1436</v>
      </c>
      <c r="N68" s="162">
        <f aca="true" t="shared" si="27" ref="N68:S68">SUM(B68,H68)</f>
        <v>1586</v>
      </c>
      <c r="O68" s="110">
        <f t="shared" si="27"/>
        <v>2295</v>
      </c>
      <c r="P68" s="206">
        <f t="shared" si="27"/>
        <v>3881</v>
      </c>
      <c r="Q68" s="162">
        <f t="shared" si="27"/>
        <v>624</v>
      </c>
      <c r="R68" s="110">
        <f t="shared" si="27"/>
        <v>939</v>
      </c>
      <c r="S68" s="110">
        <f t="shared" si="27"/>
        <v>1563</v>
      </c>
      <c r="U68"/>
      <c r="V68"/>
    </row>
    <row r="71" ht="12.75">
      <c r="A71" s="215"/>
    </row>
  </sheetData>
  <sheetProtection/>
  <printOptions horizontalCentered="1"/>
  <pageMargins left="0.3937007874015748" right="0.3937007874015748" top="0.3937007874015748" bottom="0.3937007874015748" header="0.5118110236220472" footer="0.5118110236220472"/>
  <pageSetup fitToHeight="2" fitToWidth="1" orientation="landscape" paperSize="9" scale="8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Vlaamse Gemeenschap</dc:creator>
  <cp:keywords/>
  <dc:description/>
  <cp:lastModifiedBy>Vermeulen, Geert</cp:lastModifiedBy>
  <cp:lastPrinted>2018-07-30T14:05:11Z</cp:lastPrinted>
  <dcterms:created xsi:type="dcterms:W3CDTF">1999-11-09T10:39:11Z</dcterms:created>
  <dcterms:modified xsi:type="dcterms:W3CDTF">2018-08-24T07:14:30Z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y fmtid="{D5CDD505-2E9C-101B-9397-08002B2CF9AE}" pid="3" name="ContentTypeId">
    <vt:lpwstr>0x0101003469F0671AEE1641A22D649C188EA117</vt:lpwstr>
  </property>
</Properties>
</file>