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12012" tabRatio="597" activeTab="0"/>
  </bookViews>
  <sheets>
    <sheet name="INHOUD" sheetId="1" r:id="rId1"/>
    <sheet name="TOEL" sheetId="2" r:id="rId2"/>
    <sheet name="08PALG01" sheetId="3" r:id="rId3"/>
    <sheet name="08PALG02" sheetId="4" r:id="rId4"/>
    <sheet name="08PALG03" sheetId="5" r:id="rId5"/>
    <sheet name="08PALG04" sheetId="6" r:id="rId6"/>
    <sheet name="08PALG05" sheetId="7" r:id="rId7"/>
    <sheet name="08PALG06" sheetId="8" r:id="rId8"/>
    <sheet name="08PALG07" sheetId="9" r:id="rId9"/>
    <sheet name="08PALG08" sheetId="10" r:id="rId10"/>
    <sheet name="08PALG9" sheetId="11" r:id="rId11"/>
    <sheet name="08PALG10" sheetId="12" r:id="rId12"/>
    <sheet name="08PALG11" sheetId="13" r:id="rId13"/>
    <sheet name="08PALG12" sheetId="14" r:id="rId14"/>
  </sheets>
  <definedNames>
    <definedName name="_xlnm.Print_Area" localSheetId="3">'08PALG02'!$A$1:$I$63</definedName>
    <definedName name="_xlnm.Print_Area" localSheetId="4">'08PALG03'!$A$1:$I$70</definedName>
    <definedName name="_xlnm.Print_Area" localSheetId="7">'08PALG06'!$A$1:$S$67</definedName>
    <definedName name="_xlnm.Print_Area" localSheetId="9">'08PALG08'!$A$1:$I$63</definedName>
    <definedName name="_xlnm.Print_Area" localSheetId="11">'08PALG10'!$A$1:$S$79</definedName>
    <definedName name="_xlnm.Print_Area" localSheetId="12">'08PALG11'!$A$1:$S$70</definedName>
    <definedName name="_xlnm.Print_Area" localSheetId="13">'08PALG12'!$A$1:$I$70</definedName>
  </definedNames>
  <calcPr fullCalcOnLoad="1"/>
</workbook>
</file>

<file path=xl/sharedStrings.xml><?xml version="1.0" encoding="utf-8"?>
<sst xmlns="http://schemas.openxmlformats.org/spreadsheetml/2006/main" count="823" uniqueCount="112">
  <si>
    <t xml:space="preserve"> </t>
  </si>
  <si>
    <t xml:space="preserve">PERSONEEL PER ONDERWIJSNIVEAU </t>
  </si>
  <si>
    <t>Bestuurs- en onderwijzend personeel</t>
  </si>
  <si>
    <t>Andere personeelscategorieën</t>
  </si>
  <si>
    <t>Totaal</t>
  </si>
  <si>
    <t>Mannen</t>
  </si>
  <si>
    <t>Vrouwen</t>
  </si>
  <si>
    <t>Gewoon basisonderwijs</t>
  </si>
  <si>
    <t xml:space="preserve">  Privaatrechtelijk</t>
  </si>
  <si>
    <t xml:space="preserve">  Provincie</t>
  </si>
  <si>
    <t xml:space="preserve">  Gemeente</t>
  </si>
  <si>
    <t>Buitengewoon basisonderwijs</t>
  </si>
  <si>
    <t>Gewoon secundair onderwijs</t>
  </si>
  <si>
    <t>Buitengewoon secundair onderwijs</t>
  </si>
  <si>
    <t>Hogescholenonderwijs</t>
  </si>
  <si>
    <t>Deeltijds kunstonderwijs</t>
  </si>
  <si>
    <t>Andere (1)</t>
  </si>
  <si>
    <t xml:space="preserve">  Vlaamse Gemeenschap</t>
  </si>
  <si>
    <t>(1) Personeel van centra voor leerlingenbegeleiding, onderwijsinspectie, pedagogische begeleiding, internaten, ...</t>
  </si>
  <si>
    <t>BESTUURS- EN ONDERWIJZEND PERSONEEL PER ONDERWIJSNIVEAU, NAAR STATUUT</t>
  </si>
  <si>
    <t>2001-2002</t>
  </si>
  <si>
    <t xml:space="preserve">  Vastbenoemden</t>
  </si>
  <si>
    <t xml:space="preserve">  Tijdelijken</t>
  </si>
  <si>
    <t>ANDERE PERSONEELSCATEGORIEËN PER ONDERWIJSNIVEAU, NAAR STATUUT</t>
  </si>
  <si>
    <t>(2) Personeel van centra voor leerlingenbegeleiding, onderwijsinspectie, pedagogische begeleiding, internaten, ...</t>
  </si>
  <si>
    <t>PERSONEEL PER ONDERWIJSNIVEAU</t>
  </si>
  <si>
    <t>BESTUURS- EN ONDERWIJZEND PERSONEEL NAAR LEEFTIJD, STATUUT EN GESLACHT</t>
  </si>
  <si>
    <t>Vastbenoemden</t>
  </si>
  <si>
    <t>Tijdelijken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</si>
  <si>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</si>
  <si>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</si>
  <si>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</si>
  <si>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</si>
  <si>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</si>
  <si>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</si>
  <si>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</si>
  <si>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</si>
  <si>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</si>
  <si>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</si>
  <si>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Aantal personen met volledige opdracht</t>
  </si>
  <si>
    <t>Aantal personen met gedeeltelijke opdracht</t>
  </si>
  <si>
    <t>BESTUURS- EN ONDERWIJZEND PERSONEEL PER ONDERWIJSNIVEAU, NAARGELANG DE OPDRACHT</t>
  </si>
  <si>
    <t xml:space="preserve">   2000-2001</t>
  </si>
  <si>
    <t>ANDERE PERSONEELSCATEGORIEËN NAAR LEEFTIJD, STATUUT EN GESLACHT</t>
  </si>
  <si>
    <t>(1) Inclusief personeel van centra voor leerlingenbegeleiding, onderwijsinspectie, pedagogische begeleiding, internaten, ...</t>
  </si>
  <si>
    <t>Andere (2)</t>
  </si>
  <si>
    <t xml:space="preserve">(1) In februari voor het schooljaar 2000-2001. Vanaf 1 september 2000 werden de activiteiten van de voormalige Psycho-Medisch-Sociale centra (PMS) en de Centra voor Medisch Schooltoezicht (MST) opgeheven. </t>
  </si>
  <si>
    <t xml:space="preserve">De taken werden overgenomen door de  Centra voor Leerlingenbegeleiding (CLB's). Het personeel van de MST ressorteerde onder het departement Welzijn, Volksgezondheid en Cultuur. Vanaf 1 september 2000 </t>
  </si>
  <si>
    <t xml:space="preserve">  Gemeenschapsonderwijs</t>
  </si>
  <si>
    <t>2002-2003</t>
  </si>
  <si>
    <t>2003-2004</t>
  </si>
  <si>
    <t xml:space="preserve">   2003-2004</t>
  </si>
  <si>
    <t>(1) In februari voor het schooljaar 2000-2001.</t>
  </si>
  <si>
    <t>2004-2005</t>
  </si>
  <si>
    <t>2005-2006</t>
  </si>
  <si>
    <t>2006-2007</t>
  </si>
  <si>
    <t>2007-2008</t>
  </si>
  <si>
    <t>BESTUURS- EN ONDERWIJZEND PERSONEEL PER ONDERWIJSNIVEAU EN SOORT INRICHTENDE MACHT, NAARGELANG DE OPDRACHT</t>
  </si>
  <si>
    <t xml:space="preserve">   2006-2007</t>
  </si>
  <si>
    <t>ANDERE PERSONEELSCATEGORIEËN PER ONDERWIJSNIVEAU EN SOORT INRICHTENDE MACHT, NAARGELANG DE OPDRACHT</t>
  </si>
  <si>
    <t>Aantal personen (inclusief alle vervangingen, TBS+ en Bonus) -  januari (1)</t>
  </si>
  <si>
    <t>ANDERE PERSONEELSCATEGORIEËN PER ONDERWIJSNIVEAU, NAARGELANG DE OPDRACHT</t>
  </si>
  <si>
    <t>Secundair volwassenenonderwijs</t>
  </si>
  <si>
    <t>Hoger beroepsonderwijs van het volwassenenonderwijs</t>
  </si>
  <si>
    <t>is dit personeel overgeheveld naar het departement Onderwijs en wordt dit personeel eveneens geregistreerd bij de 'Andere personeelscategorieën'.</t>
  </si>
  <si>
    <t>Schooljaar 2008-2009</t>
  </si>
  <si>
    <t>Aantal budgettaire fulltime-equivalenten (inclusief alle vervangingen, TBS+ en Bonus) - januari 2009</t>
  </si>
  <si>
    <t>2008-2009</t>
  </si>
  <si>
    <t xml:space="preserve">Aantal budgettaire fulltime-equivalenten (inclusief alle vervangingen, TBS+ en Bonus) - januari </t>
  </si>
  <si>
    <t>Aantal personen (inclusief alle vervangingen, TBS+ en Bonus) -  januari 2009</t>
  </si>
  <si>
    <t>Aantal personen (inclusief alle vervangingen, TBS+ en Bonus) - januari 2009</t>
  </si>
  <si>
    <t xml:space="preserve">Aantal personen (inclusief alle vervangingen, TBS+ en Bonus) - januari </t>
  </si>
  <si>
    <t xml:space="preserve">   2008-2009</t>
  </si>
  <si>
    <t xml:space="preserve">Aantal personen (inclusief alle vervangingen, TBS+ en Bonus) - januari (1) </t>
  </si>
  <si>
    <t>Basiseducatie</t>
  </si>
  <si>
    <t>Algemeen totaal (zonder basiseducatie)</t>
  </si>
  <si>
    <t>Algemeen totaal (met basiseducatie)</t>
  </si>
  <si>
    <t>Totaal bestuurs- en onderwijzend personeel (zonder basiseducatie)</t>
  </si>
  <si>
    <t>Totaal bestuurs- en onderwijzend personeel (met basiseducatie)</t>
  </si>
  <si>
    <t>Totaal andere personeelscategorieën (zonder basiseducatie)</t>
  </si>
  <si>
    <t>ALLE ONDERWIJSNIVEAUS (zonder basiseducatie)</t>
  </si>
  <si>
    <t>ALLE ONDERWIJSNIVEAUS (met basiseducatie)</t>
  </si>
  <si>
    <t>ALLE ONDERWIJSNIVEAUS (zonder basiseducatie) (1)</t>
  </si>
  <si>
    <t>ALLE ONDERWIJSNIVEAUS (met basiseducatie) (1)</t>
  </si>
  <si>
    <t>Totaal andere personeelscategorieën (met basiseducatie)</t>
  </si>
  <si>
    <t>PERSONEEL</t>
  </si>
  <si>
    <t>Toelichting bij de personeelsstatistieken</t>
  </si>
  <si>
    <t>Budgettaire fulltime-equivalenten</t>
  </si>
  <si>
    <t xml:space="preserve">Personeel per onderwijsniveau </t>
  </si>
  <si>
    <t>Bestuurs- en onderwijzend personeel per onderwijsniveau, naar statuut</t>
  </si>
  <si>
    <t>Andere personeelscategorieën per onderwijsniveau, naar statuut</t>
  </si>
  <si>
    <t>Aantal personen</t>
  </si>
  <si>
    <t>Personeel per onderwijsniveau</t>
  </si>
  <si>
    <t>Bestuurs- en onderwijzend personeel naar leeftijd, statuut en geslacht</t>
  </si>
  <si>
    <t>Bestuurs- en onderwijzend personeel per onderwijsniveau en inrichtende macht, naargelang de opdracht</t>
  </si>
  <si>
    <t>Bestuurs- en onderwijzend personeel per onderwijsniveau, naargelang de opdracht</t>
  </si>
  <si>
    <t>Andere personeelscategorieën naar leeftijd, statuut en geslacht</t>
  </si>
  <si>
    <t>Andere personeelscategorieën per onderwijsniveau en inrichtende macht, naargelang de opdracht</t>
  </si>
  <si>
    <t>Andere personeelscategorieën per onderwijsniveau naargelang de opdracht</t>
  </si>
  <si>
    <t>08PALG01</t>
  </si>
  <si>
    <t>08PALG02</t>
  </si>
  <si>
    <t>08PALG03</t>
  </si>
  <si>
    <t>08PALG04</t>
  </si>
  <si>
    <t>08PALG05</t>
  </si>
  <si>
    <t>08PALG06</t>
  </si>
  <si>
    <t>08PALG07</t>
  </si>
  <si>
    <t>08PALG08</t>
  </si>
  <si>
    <t>08PALG09</t>
  </si>
  <si>
    <t>08PALG11</t>
  </si>
  <si>
    <t>08PALG12</t>
  </si>
  <si>
    <t>08PALG10</t>
  </si>
  <si>
    <t>TOEL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</si>
</sst>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" fontId="5" fillId="0" borderId="0" applyFont="0" applyFill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66" applyNumberFormat="1" applyFont="1">
      <alignment/>
      <protection/>
    </xf>
    <xf numFmtId="0" fontId="0" fillId="0" borderId="0" xfId="66" applyFont="1">
      <alignment/>
      <protection/>
    </xf>
    <xf numFmtId="3" fontId="0" fillId="0" borderId="0" xfId="66" applyNumberFormat="1" applyFont="1">
      <alignment/>
      <protection/>
    </xf>
    <xf numFmtId="3" fontId="2" fillId="0" borderId="0" xfId="66" applyNumberFormat="1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3" fontId="2" fillId="0" borderId="0" xfId="66" applyNumberFormat="1" applyFont="1" applyAlignment="1">
      <alignment/>
      <protection/>
    </xf>
    <xf numFmtId="0" fontId="0" fillId="0" borderId="0" xfId="66" applyFont="1" applyAlignment="1">
      <alignment/>
      <protection/>
    </xf>
    <xf numFmtId="3" fontId="0" fillId="0" borderId="10" xfId="66" applyNumberFormat="1" applyFont="1" applyBorder="1">
      <alignment/>
      <protection/>
    </xf>
    <xf numFmtId="0" fontId="0" fillId="0" borderId="11" xfId="66" applyFont="1" applyBorder="1">
      <alignment/>
      <protection/>
    </xf>
    <xf numFmtId="3" fontId="0" fillId="0" borderId="15" xfId="66" applyNumberFormat="1" applyFont="1" applyBorder="1">
      <alignment/>
      <protection/>
    </xf>
    <xf numFmtId="0" fontId="0" fillId="0" borderId="12" xfId="66" applyFont="1" applyBorder="1">
      <alignment/>
      <protection/>
    </xf>
    <xf numFmtId="0" fontId="0" fillId="0" borderId="13" xfId="66" applyFont="1" applyBorder="1">
      <alignment/>
      <protection/>
    </xf>
    <xf numFmtId="164" fontId="0" fillId="0" borderId="12" xfId="66" applyNumberFormat="1" applyFont="1" applyBorder="1">
      <alignment/>
      <protection/>
    </xf>
    <xf numFmtId="3" fontId="2" fillId="0" borderId="0" xfId="66" applyNumberFormat="1" applyFont="1" applyAlignment="1">
      <alignment horizontal="right"/>
      <protection/>
    </xf>
    <xf numFmtId="164" fontId="2" fillId="0" borderId="13" xfId="66" applyNumberFormat="1" applyFont="1" applyBorder="1">
      <alignment/>
      <protection/>
    </xf>
    <xf numFmtId="0" fontId="2" fillId="0" borderId="0" xfId="66" applyFont="1">
      <alignment/>
      <protection/>
    </xf>
    <xf numFmtId="3" fontId="0" fillId="0" borderId="0" xfId="66" applyNumberFormat="1" applyFont="1" applyBorder="1">
      <alignment/>
      <protection/>
    </xf>
    <xf numFmtId="164" fontId="2" fillId="0" borderId="12" xfId="66" applyNumberFormat="1" applyFont="1" applyBorder="1">
      <alignment/>
      <protection/>
    </xf>
    <xf numFmtId="3" fontId="2" fillId="0" borderId="0" xfId="66" applyNumberFormat="1" applyFont="1" applyBorder="1">
      <alignment/>
      <protection/>
    </xf>
    <xf numFmtId="3" fontId="2" fillId="0" borderId="0" xfId="67" applyNumberFormat="1" applyFont="1">
      <alignment/>
      <protection/>
    </xf>
    <xf numFmtId="0" fontId="0" fillId="0" borderId="0" xfId="67" applyFont="1">
      <alignment/>
      <protection/>
    </xf>
    <xf numFmtId="3" fontId="0" fillId="0" borderId="0" xfId="67" applyNumberFormat="1" applyFont="1">
      <alignment/>
      <protection/>
    </xf>
    <xf numFmtId="3" fontId="2" fillId="0" borderId="0" xfId="67" applyNumberFormat="1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3" fontId="2" fillId="0" borderId="0" xfId="67" applyNumberFormat="1" applyFont="1" applyAlignment="1">
      <alignment/>
      <protection/>
    </xf>
    <xf numFmtId="0" fontId="0" fillId="0" borderId="0" xfId="67" applyFont="1" applyAlignment="1">
      <alignment/>
      <protection/>
    </xf>
    <xf numFmtId="3" fontId="0" fillId="0" borderId="10" xfId="67" applyNumberFormat="1" applyFont="1" applyBorder="1">
      <alignment/>
      <protection/>
    </xf>
    <xf numFmtId="0" fontId="0" fillId="0" borderId="11" xfId="67" applyFont="1" applyBorder="1">
      <alignment/>
      <protection/>
    </xf>
    <xf numFmtId="3" fontId="0" fillId="0" borderId="15" xfId="67" applyNumberFormat="1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3" xfId="67" applyFont="1" applyBorder="1">
      <alignment/>
      <protection/>
    </xf>
    <xf numFmtId="164" fontId="0" fillId="0" borderId="12" xfId="67" applyNumberFormat="1" applyFont="1" applyBorder="1">
      <alignment/>
      <protection/>
    </xf>
    <xf numFmtId="3" fontId="2" fillId="0" borderId="0" xfId="67" applyNumberFormat="1" applyFont="1" applyAlignment="1">
      <alignment horizontal="right"/>
      <protection/>
    </xf>
    <xf numFmtId="164" fontId="2" fillId="0" borderId="13" xfId="67" applyNumberFormat="1" applyFont="1" applyBorder="1">
      <alignment/>
      <protection/>
    </xf>
    <xf numFmtId="0" fontId="2" fillId="0" borderId="0" xfId="67" applyFont="1">
      <alignment/>
      <protection/>
    </xf>
    <xf numFmtId="3" fontId="0" fillId="0" borderId="0" xfId="67" applyNumberFormat="1" applyFont="1" applyBorder="1">
      <alignment/>
      <protection/>
    </xf>
    <xf numFmtId="3" fontId="2" fillId="0" borderId="0" xfId="67" applyNumberFormat="1" applyFont="1" applyBorder="1">
      <alignment/>
      <protection/>
    </xf>
    <xf numFmtId="0" fontId="4" fillId="0" borderId="0" xfId="67" applyFont="1">
      <alignment/>
      <protection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Continuous"/>
    </xf>
    <xf numFmtId="164" fontId="0" fillId="0" borderId="17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3" fontId="2" fillId="0" borderId="0" xfId="69" applyNumberFormat="1" applyFont="1">
      <alignment/>
      <protection/>
    </xf>
    <xf numFmtId="3" fontId="0" fillId="0" borderId="0" xfId="69" applyNumberFormat="1" applyFont="1">
      <alignment/>
      <protection/>
    </xf>
    <xf numFmtId="3" fontId="0" fillId="0" borderId="0" xfId="69" applyNumberFormat="1" applyFont="1" applyBorder="1">
      <alignment/>
      <protection/>
    </xf>
    <xf numFmtId="0" fontId="0" fillId="0" borderId="0" xfId="69" applyFont="1">
      <alignment/>
      <protection/>
    </xf>
    <xf numFmtId="3" fontId="2" fillId="0" borderId="0" xfId="69" applyNumberFormat="1" applyFont="1" applyAlignment="1">
      <alignment horizontal="centerContinuous"/>
      <protection/>
    </xf>
    <xf numFmtId="3" fontId="0" fillId="0" borderId="0" xfId="69" applyNumberFormat="1" applyFont="1" applyAlignment="1">
      <alignment horizontal="centerContinuous"/>
      <protection/>
    </xf>
    <xf numFmtId="3" fontId="0" fillId="0" borderId="0" xfId="69" applyNumberFormat="1" applyFont="1" applyBorder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3" fontId="0" fillId="0" borderId="10" xfId="69" applyNumberFormat="1" applyFont="1" applyBorder="1">
      <alignment/>
      <protection/>
    </xf>
    <xf numFmtId="3" fontId="0" fillId="0" borderId="15" xfId="69" applyNumberFormat="1" applyFont="1" applyBorder="1">
      <alignment/>
      <protection/>
    </xf>
    <xf numFmtId="3" fontId="2" fillId="0" borderId="12" xfId="69" applyNumberFormat="1" applyFont="1" applyBorder="1">
      <alignment/>
      <protection/>
    </xf>
    <xf numFmtId="3" fontId="0" fillId="0" borderId="12" xfId="69" applyNumberFormat="1" applyFont="1" applyBorder="1">
      <alignment/>
      <protection/>
    </xf>
    <xf numFmtId="164" fontId="0" fillId="0" borderId="12" xfId="69" applyNumberFormat="1" applyFont="1" applyBorder="1">
      <alignment/>
      <protection/>
    </xf>
    <xf numFmtId="164" fontId="0" fillId="0" borderId="0" xfId="69" applyNumberFormat="1" applyFont="1">
      <alignment/>
      <protection/>
    </xf>
    <xf numFmtId="164" fontId="0" fillId="0" borderId="12" xfId="69" applyNumberFormat="1" applyFont="1" applyBorder="1" applyAlignment="1">
      <alignment horizontal="right"/>
      <protection/>
    </xf>
    <xf numFmtId="3" fontId="2" fillId="0" borderId="0" xfId="69" applyNumberFormat="1" applyFont="1" applyAlignment="1">
      <alignment horizontal="right"/>
      <protection/>
    </xf>
    <xf numFmtId="164" fontId="2" fillId="0" borderId="13" xfId="69" applyNumberFormat="1" applyFont="1" applyBorder="1">
      <alignment/>
      <protection/>
    </xf>
    <xf numFmtId="164" fontId="2" fillId="0" borderId="14" xfId="69" applyNumberFormat="1" applyFont="1" applyBorder="1">
      <alignment/>
      <protection/>
    </xf>
    <xf numFmtId="164" fontId="0" fillId="0" borderId="0" xfId="69" applyNumberFormat="1" applyFont="1" applyAlignment="1">
      <alignment horizontal="right"/>
      <protection/>
    </xf>
    <xf numFmtId="164" fontId="2" fillId="0" borderId="12" xfId="69" applyNumberFormat="1" applyFont="1" applyBorder="1">
      <alignment/>
      <protection/>
    </xf>
    <xf numFmtId="164" fontId="2" fillId="0" borderId="0" xfId="69" applyNumberFormat="1" applyFont="1" applyBorder="1">
      <alignment/>
      <protection/>
    </xf>
    <xf numFmtId="0" fontId="0" fillId="0" borderId="0" xfId="69" applyFont="1" applyBorder="1">
      <alignment/>
      <protection/>
    </xf>
    <xf numFmtId="3" fontId="2" fillId="0" borderId="0" xfId="70" applyNumberFormat="1" applyFont="1">
      <alignment/>
      <protection/>
    </xf>
    <xf numFmtId="3" fontId="0" fillId="0" borderId="0" xfId="70" applyNumberFormat="1" applyFont="1">
      <alignment/>
      <protection/>
    </xf>
    <xf numFmtId="3" fontId="0" fillId="0" borderId="0" xfId="70" applyNumberFormat="1" applyFont="1" applyBorder="1">
      <alignment/>
      <protection/>
    </xf>
    <xf numFmtId="0" fontId="0" fillId="0" borderId="0" xfId="70" applyFont="1">
      <alignment/>
      <protection/>
    </xf>
    <xf numFmtId="3" fontId="2" fillId="0" borderId="0" xfId="70" applyNumberFormat="1" applyFont="1" applyAlignment="1">
      <alignment horizontal="centerContinuous"/>
      <protection/>
    </xf>
    <xf numFmtId="3" fontId="0" fillId="0" borderId="0" xfId="70" applyNumberFormat="1" applyFont="1" applyAlignment="1">
      <alignment horizontal="centerContinuous"/>
      <protection/>
    </xf>
    <xf numFmtId="3" fontId="0" fillId="0" borderId="0" xfId="70" applyNumberFormat="1" applyFont="1" applyBorder="1" applyAlignment="1">
      <alignment horizontal="centerContinuous"/>
      <protection/>
    </xf>
    <xf numFmtId="0" fontId="0" fillId="0" borderId="0" xfId="70" applyFont="1" applyAlignment="1">
      <alignment horizontal="centerContinuous"/>
      <protection/>
    </xf>
    <xf numFmtId="3" fontId="0" fillId="0" borderId="10" xfId="70" applyNumberFormat="1" applyFont="1" applyBorder="1">
      <alignment/>
      <protection/>
    </xf>
    <xf numFmtId="3" fontId="0" fillId="0" borderId="11" xfId="70" applyNumberFormat="1" applyFont="1" applyBorder="1" applyAlignment="1">
      <alignment horizontal="centerContinuous"/>
      <protection/>
    </xf>
    <xf numFmtId="3" fontId="0" fillId="0" borderId="10" xfId="70" applyNumberFormat="1" applyFont="1" applyBorder="1" applyAlignment="1">
      <alignment horizontal="centerContinuous"/>
      <protection/>
    </xf>
    <xf numFmtId="3" fontId="0" fillId="0" borderId="13" xfId="70" applyNumberFormat="1" applyFont="1" applyBorder="1" applyAlignment="1">
      <alignment horizontal="centerContinuous"/>
      <protection/>
    </xf>
    <xf numFmtId="3" fontId="0" fillId="0" borderId="14" xfId="70" applyNumberFormat="1" applyFont="1" applyBorder="1" applyAlignment="1">
      <alignment horizontal="centerContinuous"/>
      <protection/>
    </xf>
    <xf numFmtId="3" fontId="2" fillId="0" borderId="12" xfId="70" applyNumberFormat="1" applyFont="1" applyBorder="1">
      <alignment/>
      <protection/>
    </xf>
    <xf numFmtId="3" fontId="0" fillId="0" borderId="12" xfId="70" applyNumberFormat="1" applyFont="1" applyBorder="1">
      <alignment/>
      <protection/>
    </xf>
    <xf numFmtId="164" fontId="0" fillId="0" borderId="12" xfId="70" applyNumberFormat="1" applyFont="1" applyBorder="1">
      <alignment/>
      <protection/>
    </xf>
    <xf numFmtId="164" fontId="0" fillId="0" borderId="0" xfId="70" applyNumberFormat="1" applyFont="1">
      <alignment/>
      <protection/>
    </xf>
    <xf numFmtId="164" fontId="0" fillId="0" borderId="12" xfId="70" applyNumberFormat="1" applyFont="1" applyBorder="1" applyAlignment="1">
      <alignment horizontal="right"/>
      <protection/>
    </xf>
    <xf numFmtId="3" fontId="2" fillId="0" borderId="0" xfId="68" applyNumberFormat="1" applyFont="1">
      <alignment/>
      <protection/>
    </xf>
    <xf numFmtId="0" fontId="0" fillId="0" borderId="0" xfId="68" applyFont="1">
      <alignment/>
      <protection/>
    </xf>
    <xf numFmtId="3" fontId="0" fillId="0" borderId="0" xfId="68" applyNumberFormat="1" applyFont="1">
      <alignment/>
      <protection/>
    </xf>
    <xf numFmtId="3" fontId="2" fillId="0" borderId="0" xfId="68" applyNumberFormat="1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3" fontId="2" fillId="0" borderId="0" xfId="68" applyNumberFormat="1" applyFont="1" applyAlignment="1">
      <alignment/>
      <protection/>
    </xf>
    <xf numFmtId="0" fontId="0" fillId="0" borderId="0" xfId="68" applyFont="1" applyAlignment="1">
      <alignment/>
      <protection/>
    </xf>
    <xf numFmtId="3" fontId="0" fillId="0" borderId="10" xfId="68" applyNumberFormat="1" applyFont="1" applyBorder="1">
      <alignment/>
      <protection/>
    </xf>
    <xf numFmtId="0" fontId="0" fillId="0" borderId="11" xfId="68" applyFont="1" applyBorder="1">
      <alignment/>
      <protection/>
    </xf>
    <xf numFmtId="3" fontId="0" fillId="0" borderId="15" xfId="68" applyNumberFormat="1" applyFont="1" applyBorder="1">
      <alignment/>
      <protection/>
    </xf>
    <xf numFmtId="0" fontId="0" fillId="0" borderId="12" xfId="68" applyFont="1" applyBorder="1">
      <alignment/>
      <protection/>
    </xf>
    <xf numFmtId="0" fontId="0" fillId="0" borderId="13" xfId="68" applyFont="1" applyBorder="1">
      <alignment/>
      <protection/>
    </xf>
    <xf numFmtId="164" fontId="0" fillId="0" borderId="12" xfId="68" applyNumberFormat="1" applyFont="1" applyBorder="1">
      <alignment/>
      <protection/>
    </xf>
    <xf numFmtId="3" fontId="2" fillId="0" borderId="0" xfId="68" applyNumberFormat="1" applyFont="1" applyAlignment="1">
      <alignment horizontal="right"/>
      <protection/>
    </xf>
    <xf numFmtId="164" fontId="2" fillId="0" borderId="13" xfId="68" applyNumberFormat="1" applyFont="1" applyBorder="1">
      <alignment/>
      <protection/>
    </xf>
    <xf numFmtId="0" fontId="2" fillId="0" borderId="0" xfId="68" applyFont="1">
      <alignment/>
      <protection/>
    </xf>
    <xf numFmtId="3" fontId="0" fillId="0" borderId="0" xfId="68" applyNumberFormat="1" applyFont="1" applyBorder="1">
      <alignment/>
      <protection/>
    </xf>
    <xf numFmtId="164" fontId="2" fillId="0" borderId="12" xfId="68" applyNumberFormat="1" applyFont="1" applyBorder="1">
      <alignment/>
      <protection/>
    </xf>
    <xf numFmtId="3" fontId="2" fillId="0" borderId="0" xfId="68" applyNumberFormat="1" applyFont="1" applyBorder="1">
      <alignment/>
      <protection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2" fillId="0" borderId="0" xfId="71" applyNumberFormat="1" applyFont="1">
      <alignment/>
      <protection/>
    </xf>
    <xf numFmtId="0" fontId="0" fillId="0" borderId="0" xfId="71" applyFont="1">
      <alignment/>
      <protection/>
    </xf>
    <xf numFmtId="3" fontId="0" fillId="0" borderId="0" xfId="71" applyNumberFormat="1" applyFont="1">
      <alignment/>
      <protection/>
    </xf>
    <xf numFmtId="3" fontId="2" fillId="0" borderId="0" xfId="71" applyNumberFormat="1" applyFont="1" applyAlignment="1">
      <alignment horizontal="centerContinuous"/>
      <protection/>
    </xf>
    <xf numFmtId="0" fontId="0" fillId="0" borderId="0" xfId="71" applyFont="1" applyAlignment="1">
      <alignment horizontal="centerContinuous"/>
      <protection/>
    </xf>
    <xf numFmtId="3" fontId="2" fillId="0" borderId="0" xfId="71" applyNumberFormat="1" applyFont="1" applyAlignment="1">
      <alignment/>
      <protection/>
    </xf>
    <xf numFmtId="0" fontId="0" fillId="0" borderId="0" xfId="71" applyFont="1" applyAlignment="1">
      <alignment/>
      <protection/>
    </xf>
    <xf numFmtId="3" fontId="0" fillId="0" borderId="10" xfId="71" applyNumberFormat="1" applyFont="1" applyBorder="1">
      <alignment/>
      <protection/>
    </xf>
    <xf numFmtId="0" fontId="0" fillId="0" borderId="11" xfId="71" applyFont="1" applyBorder="1">
      <alignment/>
      <protection/>
    </xf>
    <xf numFmtId="3" fontId="0" fillId="0" borderId="0" xfId="71" applyNumberFormat="1" applyFont="1" applyBorder="1" applyAlignment="1">
      <alignment horizontal="center"/>
      <protection/>
    </xf>
    <xf numFmtId="0" fontId="0" fillId="0" borderId="12" xfId="71" applyFont="1" applyBorder="1" applyAlignment="1">
      <alignment horizontal="center"/>
      <protection/>
    </xf>
    <xf numFmtId="0" fontId="0" fillId="0" borderId="0" xfId="71" applyFont="1" applyAlignment="1">
      <alignment horizontal="center"/>
      <protection/>
    </xf>
    <xf numFmtId="3" fontId="0" fillId="0" borderId="15" xfId="71" applyNumberFormat="1" applyFont="1" applyBorder="1">
      <alignment/>
      <protection/>
    </xf>
    <xf numFmtId="0" fontId="0" fillId="0" borderId="12" xfId="71" applyFont="1" applyBorder="1">
      <alignment/>
      <protection/>
    </xf>
    <xf numFmtId="0" fontId="0" fillId="0" borderId="13" xfId="71" applyFont="1" applyBorder="1">
      <alignment/>
      <protection/>
    </xf>
    <xf numFmtId="164" fontId="0" fillId="0" borderId="12" xfId="71" applyNumberFormat="1" applyFont="1" applyBorder="1">
      <alignment/>
      <protection/>
    </xf>
    <xf numFmtId="3" fontId="2" fillId="0" borderId="0" xfId="71" applyNumberFormat="1" applyFont="1" applyAlignment="1">
      <alignment horizontal="right"/>
      <protection/>
    </xf>
    <xf numFmtId="164" fontId="2" fillId="0" borderId="13" xfId="71" applyNumberFormat="1" applyFont="1" applyBorder="1">
      <alignment/>
      <protection/>
    </xf>
    <xf numFmtId="0" fontId="2" fillId="0" borderId="0" xfId="71" applyFont="1">
      <alignment/>
      <protection/>
    </xf>
    <xf numFmtId="3" fontId="0" fillId="0" borderId="0" xfId="71" applyNumberFormat="1" applyFont="1" applyBorder="1">
      <alignment/>
      <protection/>
    </xf>
    <xf numFmtId="164" fontId="2" fillId="0" borderId="12" xfId="71" applyNumberFormat="1" applyFont="1" applyBorder="1">
      <alignment/>
      <protection/>
    </xf>
    <xf numFmtId="3" fontId="2" fillId="0" borderId="0" xfId="71" applyNumberFormat="1" applyFont="1" applyBorder="1">
      <alignment/>
      <protection/>
    </xf>
    <xf numFmtId="3" fontId="0" fillId="0" borderId="11" xfId="69" applyNumberFormat="1" applyFont="1" applyBorder="1" applyAlignment="1">
      <alignment horizontal="centerContinuous" vertical="center"/>
      <protection/>
    </xf>
    <xf numFmtId="3" fontId="0" fillId="0" borderId="10" xfId="69" applyNumberFormat="1" applyFont="1" applyBorder="1" applyAlignment="1">
      <alignment horizontal="centerContinuous" vertical="center"/>
      <protection/>
    </xf>
    <xf numFmtId="3" fontId="0" fillId="0" borderId="13" xfId="69" applyNumberFormat="1" applyFont="1" applyBorder="1" applyAlignment="1">
      <alignment horizontal="centerContinuous" vertical="center"/>
      <protection/>
    </xf>
    <xf numFmtId="3" fontId="0" fillId="0" borderId="14" xfId="69" applyNumberFormat="1" applyFont="1" applyBorder="1" applyAlignment="1">
      <alignment horizontal="centerContinuous" vertical="center"/>
      <protection/>
    </xf>
    <xf numFmtId="3" fontId="0" fillId="0" borderId="11" xfId="0" applyNumberFormat="1" applyFont="1" applyBorder="1" applyAlignment="1">
      <alignment horizontal="centerContinuous" vertical="center"/>
    </xf>
    <xf numFmtId="3" fontId="0" fillId="0" borderId="10" xfId="0" applyNumberFormat="1" applyFont="1" applyBorder="1" applyAlignment="1">
      <alignment horizontal="centerContinuous" vertical="center"/>
    </xf>
    <xf numFmtId="3" fontId="0" fillId="0" borderId="13" xfId="0" applyNumberFormat="1" applyFont="1" applyBorder="1" applyAlignment="1">
      <alignment horizontal="centerContinuous" vertical="center"/>
    </xf>
    <xf numFmtId="3" fontId="0" fillId="0" borderId="14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5" xfId="70" applyNumberFormat="1" applyFont="1" applyBorder="1" applyAlignment="1">
      <alignment horizontal="center"/>
      <protection/>
    </xf>
    <xf numFmtId="0" fontId="0" fillId="0" borderId="0" xfId="70" applyFont="1" applyAlignment="1">
      <alignment horizontal="center"/>
      <protection/>
    </xf>
    <xf numFmtId="164" fontId="2" fillId="0" borderId="18" xfId="69" applyNumberFormat="1" applyFont="1" applyBorder="1">
      <alignment/>
      <protection/>
    </xf>
    <xf numFmtId="164" fontId="2" fillId="0" borderId="13" xfId="67" applyNumberFormat="1" applyFont="1" applyBorder="1">
      <alignment/>
      <protection/>
    </xf>
    <xf numFmtId="164" fontId="0" fillId="0" borderId="0" xfId="70" applyNumberFormat="1" applyFont="1" applyBorder="1">
      <alignment/>
      <protection/>
    </xf>
    <xf numFmtId="164" fontId="0" fillId="0" borderId="0" xfId="70" applyNumberFormat="1" applyFont="1" applyBorder="1" applyAlignment="1">
      <alignment horizontal="right"/>
      <protection/>
    </xf>
    <xf numFmtId="164" fontId="0" fillId="0" borderId="0" xfId="69" applyNumberFormat="1" applyFont="1">
      <alignment/>
      <protection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3" fillId="0" borderId="14" xfId="66" applyBorder="1">
      <alignment/>
      <protection/>
    </xf>
    <xf numFmtId="164" fontId="0" fillId="0" borderId="13" xfId="66" applyNumberFormat="1" applyFont="1" applyBorder="1">
      <alignment/>
      <protection/>
    </xf>
    <xf numFmtId="0" fontId="3" fillId="0" borderId="0" xfId="67" applyBorder="1">
      <alignment/>
      <protection/>
    </xf>
    <xf numFmtId="3" fontId="2" fillId="0" borderId="15" xfId="67" applyNumberFormat="1" applyFont="1" applyBorder="1" applyAlignment="1">
      <alignment horizontal="right"/>
      <protection/>
    </xf>
    <xf numFmtId="164" fontId="2" fillId="0" borderId="16" xfId="67" applyNumberFormat="1" applyFont="1" applyBorder="1">
      <alignment/>
      <protection/>
    </xf>
    <xf numFmtId="0" fontId="4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69" applyNumberFormat="1" applyFont="1" applyBorder="1" applyAlignment="1">
      <alignment horizontal="right" vertical="center"/>
      <protection/>
    </xf>
    <xf numFmtId="3" fontId="0" fillId="0" borderId="17" xfId="69" applyNumberFormat="1" applyFont="1" applyBorder="1" applyAlignment="1">
      <alignment horizontal="right" vertical="center"/>
      <protection/>
    </xf>
    <xf numFmtId="3" fontId="0" fillId="0" borderId="16" xfId="70" applyNumberFormat="1" applyFont="1" applyBorder="1" applyAlignment="1">
      <alignment horizontal="center"/>
      <protection/>
    </xf>
    <xf numFmtId="3" fontId="0" fillId="0" borderId="17" xfId="70" applyNumberFormat="1" applyFont="1" applyBorder="1" applyAlignment="1">
      <alignment horizontal="center"/>
      <protection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4" fillId="0" borderId="0" xfId="71" applyFont="1">
      <alignment/>
      <protection/>
    </xf>
    <xf numFmtId="3" fontId="4" fillId="0" borderId="0" xfId="70" applyNumberFormat="1" applyFont="1">
      <alignment/>
      <protection/>
    </xf>
    <xf numFmtId="0" fontId="4" fillId="0" borderId="0" xfId="0" applyFont="1" applyAlignment="1">
      <alignment/>
    </xf>
    <xf numFmtId="0" fontId="3" fillId="0" borderId="14" xfId="68" applyBorder="1">
      <alignment/>
      <protection/>
    </xf>
    <xf numFmtId="164" fontId="0" fillId="0" borderId="13" xfId="68" applyNumberFormat="1" applyFont="1" applyBorder="1">
      <alignment/>
      <protection/>
    </xf>
    <xf numFmtId="0" fontId="3" fillId="0" borderId="14" xfId="71" applyBorder="1">
      <alignment/>
      <protection/>
    </xf>
    <xf numFmtId="164" fontId="0" fillId="0" borderId="13" xfId="71" applyNumberFormat="1" applyFont="1" applyBorder="1">
      <alignment/>
      <protection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 horizontal="left"/>
    </xf>
    <xf numFmtId="3" fontId="2" fillId="0" borderId="18" xfId="69" applyNumberFormat="1" applyFont="1" applyBorder="1">
      <alignment/>
      <protection/>
    </xf>
    <xf numFmtId="164" fontId="0" fillId="0" borderId="18" xfId="69" applyNumberFormat="1" applyFont="1" applyBorder="1">
      <alignment/>
      <protection/>
    </xf>
    <xf numFmtId="0" fontId="2" fillId="0" borderId="18" xfId="69" applyFont="1" applyBorder="1" applyAlignment="1">
      <alignment horizontal="right"/>
      <protection/>
    </xf>
    <xf numFmtId="164" fontId="0" fillId="0" borderId="0" xfId="69" applyNumberFormat="1" applyFont="1" applyBorder="1">
      <alignment/>
      <protection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 shrinkToFit="1"/>
    </xf>
    <xf numFmtId="164" fontId="2" fillId="0" borderId="18" xfId="0" applyNumberFormat="1" applyFont="1" applyBorder="1" applyAlignment="1">
      <alignment/>
    </xf>
    <xf numFmtId="3" fontId="2" fillId="0" borderId="0" xfId="66" applyNumberFormat="1" applyFont="1" applyAlignment="1">
      <alignment horizontal="left"/>
      <protection/>
    </xf>
    <xf numFmtId="164" fontId="0" fillId="0" borderId="0" xfId="66" applyNumberFormat="1" applyFont="1" applyBorder="1">
      <alignment/>
      <protection/>
    </xf>
    <xf numFmtId="164" fontId="0" fillId="0" borderId="18" xfId="66" applyNumberFormat="1" applyFont="1" applyBorder="1">
      <alignment/>
      <protection/>
    </xf>
    <xf numFmtId="164" fontId="2" fillId="0" borderId="12" xfId="67" applyNumberFormat="1" applyFont="1" applyBorder="1">
      <alignment/>
      <protection/>
    </xf>
    <xf numFmtId="3" fontId="2" fillId="0" borderId="0" xfId="69" applyNumberFormat="1" applyFont="1" applyAlignment="1">
      <alignment horizontal="right" wrapText="1" shrinkToFit="1"/>
      <protection/>
    </xf>
    <xf numFmtId="3" fontId="2" fillId="0" borderId="18" xfId="69" applyNumberFormat="1" applyFont="1" applyBorder="1" applyAlignment="1">
      <alignment horizontal="right" wrapText="1" shrinkToFit="1"/>
      <protection/>
    </xf>
    <xf numFmtId="164" fontId="0" fillId="0" borderId="18" xfId="70" applyNumberFormat="1" applyFont="1" applyBorder="1">
      <alignment/>
      <protection/>
    </xf>
    <xf numFmtId="0" fontId="2" fillId="0" borderId="0" xfId="0" applyFont="1" applyBorder="1" applyAlignment="1">
      <alignment horizontal="right" wrapText="1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3" fillId="0" borderId="22" xfId="66" applyBorder="1">
      <alignment/>
      <protection/>
    </xf>
    <xf numFmtId="164" fontId="0" fillId="0" borderId="23" xfId="66" applyNumberFormat="1" applyFont="1" applyBorder="1">
      <alignment/>
      <protection/>
    </xf>
    <xf numFmtId="164" fontId="0" fillId="0" borderId="22" xfId="66" applyNumberFormat="1" applyFont="1" applyBorder="1">
      <alignment/>
      <protection/>
    </xf>
    <xf numFmtId="164" fontId="0" fillId="0" borderId="24" xfId="66" applyNumberFormat="1" applyFont="1" applyBorder="1">
      <alignment/>
      <protection/>
    </xf>
    <xf numFmtId="164" fontId="0" fillId="0" borderId="13" xfId="67" applyNumberFormat="1" applyFont="1" applyBorder="1">
      <alignment/>
      <protection/>
    </xf>
    <xf numFmtId="164" fontId="0" fillId="0" borderId="25" xfId="67" applyNumberFormat="1" applyFont="1" applyBorder="1">
      <alignment/>
      <protection/>
    </xf>
    <xf numFmtId="0" fontId="7" fillId="0" borderId="0" xfId="0" applyFont="1" applyAlignment="1">
      <alignment/>
    </xf>
  </cellXfs>
  <cellStyles count="65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Standaard_96palg02" xfId="66"/>
    <cellStyle name="Standaard_96palg03" xfId="67"/>
    <cellStyle name="Standaard_96palg05 (2)" xfId="68"/>
    <cellStyle name="Standaard_96palg06" xfId="69"/>
    <cellStyle name="Standaard_96palg07" xfId="70"/>
    <cellStyle name="Standaard_96palg09 (2)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12</xdr:col>
      <xdr:colOff>438150</xdr:colOff>
      <xdr:row>89</xdr:row>
      <xdr:rowOff>152400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57150" y="28575"/>
          <a:ext cx="7696200" cy="14535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ONDERWIJSPERSONEEL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 personeelsstatistieken wordt enkel het personeel geregistreerd dat ofwel rechtstreeks door het Beleidsdomein Onderwijs 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Vorming wordt betaald, ofwel waarvan de lonen ten laste zijn van de werkingsenveloppe van het hoger onderwijs. Dit impliceert dat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meester-, vak- en dienstpersoneel van het gesubsidieerd onderwijs niet opgenomen is in de statistieken. De gesubsidieerde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contractuelen worden ook buiten beschouwing gelaten, omdat deze personeelsleden niet volledig door het Beleidsdomein Onderwijs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 Vorming worden betaald.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personeel dat geniet van het stelsel 'terbeschikkingstelling voorafgaand aan het rustpensioen' (TBS+) is opgenomen in deze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statistieken. Alle personeelsgegevens hebben betrekking op de maand januari, zoals gekend in juni 2009.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tabel met betrekking tot de 'professionele  bachelors voor het onderwijs' en de 'masters'  wordt gebaseerd op de door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betrokkenen behaalde diploma's.  (Zie deel 4 Personeel, hoofdstuk 3 Secundair onderwijs, 3.1 Budgettaire fulltime-equivalenten).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Bestuurs- en onderwijzend personeel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en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andere personeelscategorieën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Binnen het onderwijspersoneel wordt een onderscheid gemaakt tussen enerzijds het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bestuurs- en onderwijzend personeel'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anderzijds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personeelscategorieën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bestuurspersoneel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bestaat uit directeurs en adjunct-directeurs en nog enkele andere ambten. Het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onderwijzend personeel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vervult effectief een lesopdracht of is terbeschikkinggesteld voorafgaand aan het rustpensioen.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personeelscategorieën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bestaan uit het administratief personeel, het werkliedenpersoneel van het gemeenschaps-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onderwijs, het opvoedend hulppersoneel, het paramedisch personeel, het CLB- personeel, het inspectiepersoneel, het personeel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pedagogische begeleiding en het personeel van de internaten. Vanaf het schooljaar 2001-2002 bevat deze categorie ook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kinderverzorgsters van het kleuteronderwijs.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In het basisonderwijs komen voor het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bestuurs- en onderwijzend personeel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vanaf het schooljaar 2003-2004 ook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leraars LO (kleuteronderwijs) in aanmerking alsook de zorgcoördinatoren.  Eveneens in het basisonderwijs is er bij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personeelscategorieën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een aanzienlijke uitbreiding van het administratief personeel vanaf 2003-2004.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invoering van het onderwijslandschap in het basisonderwijs op 1 september 2003 was een ingrijpende maatregel. Op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personeelsvlak was het gevolg dat er een nieuwe personeelscategorie werd ingevoerd in het basisonderwijs, namelijk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die van het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beleids-en ondersteunend personeel.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Bij het personeel naar onderwijsniveau is bij de categorie 'andere' voor het schooljaar 2008-2009 een fikse toename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vast te stellen. Dit is te wijten aan een hercodering van de personeelsleden van de internaten. In het verleden werden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deze personeelsleden in rekening gebracht bij het onderwijsniveau van de school waaraan het internaat verbonden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was. Vanaf dit schooljaar worden deze personeelsleden toegewezen aan de categorie 'andere'. Dit heeft enkel een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impact op de 'andere personeelscategorieën'. (En dus niet op het cijfermateriaal inzake bestuurs-en onderwijzend personeel).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Vanaf 1 september 2008 wordt de betaling van de personeelsleden van de Centra voor Basiseducatie overgenomen door het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Beleidsdomein Onderwijs en Vorming. Vanaf die datum treedt het Beleidsdomein op als 'derde betaler' voor die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personeelsleden die met een arbeidsovereenkomst verbonden zijn aan een Centrum voor Basiseducatie (Contractueel door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Onderwijs) en die niet op een andere wijze worden betaald. Op basis van de invoering van het decreet op het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Volwassenenonderwijs van 15 juni 2007 wordt dit derdebetalersysteem ingevoerd.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Fysieke personen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en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budgettaire fulltime-equivalenten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personeelsleden worden uitgedrukt in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aantal fysieke personen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in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budgettaire fulltime-equivalenten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De fysieke personen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worden geregistreerd in het onderwijsniveau en -net waar zij de grootste lesopdracht hebben.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 wordt rekening gehouden met korte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vervangingen.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vervangingen zitten dus in de tabellen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fysieke personen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budgettaire fulltime-equivalenten.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het universitair onderwijs zijn de gastprofessoren en vervroegd gepensioneerden in het cijfermateriaal opgenomen voor wat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betreft het aantal personeelsleden en niet voor de budgettaire fulltime-equivalenten.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budgettaire fulltimes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zijn het resultaat van de sommatie van alle deelopdrachten van alle personeelsleden (m.a.w. met inbegrip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van de vervangingen van minder dan een jaar). Bij het hogescholenonderwijs zijn de lesopdrachten van de gastprofessoren en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mandaatsvergoedingen niet opgenomen in de budgettaire fulltimes. Dit geldt vanaf het academiejaar 1995-1996. Naast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detailgegevens voor het schooljaar 2008-2009 is er ook een historische reeks weergegeven vanaf het schooljaar 2001-2002.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Bestuurspersoneel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Er worden afzonderlijke detailtabellen opgenomen met het bestuurspersoneel (Zie deel 4 Personeel, hoofdstuk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Algemeen overzicht, 1.3 Bestuurspersoneel).  In de tabellen van het bestuurs- en onderwijzend personeel zit het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bestuurspersoneel nog inbegrepen. Er wordt van een nieuwe databank gebruik gemaakt voor het volwassenenonderwijs.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de data voor het volwassenenonderwijs zijn voor het bestuurspersoneel uitgedrukt in aantallen personen enkel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personeelsleden in rekening gebracht die een budgettaire fulltime van ten minste 50% hebben. Op die manier wordt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vergelijkbaarheid met de vroegere databank gegarandeerd.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Terbeschikkingstelling voorafgaand aan het rustpensioen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Er worden aparte tabellen opgenomen met de terbeschikkingstelling voorafgaand aan het rustpensioen en de  bonus voor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bestuurspersoneel, bestuurs- en onderwijzend personeel en 'andere' personeelscategorieën. In de gewone tabellen van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bestuurspersoneel, bestuurs- en onderwijzend personeel en 'andere' personeel zitten de terbeschikkinggestelden voorafgaand aan  het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rustpensioen en diegenen met bonus vervat. Het besluit van de Vlaamse regering van 22 februari 2002, tot wijziging van het   besluit van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 Vlaamse regering van 11 februari 2000, betreffende de volledige terbeschikkingstelling wegens persoonlijke  aangelegenheden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voorafgaand aan het rustpensioen voor personeelsleden van het onderwijs en van de CLB's, legt de krachtlijnen  van de vernieuwde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uitstapregeling vast. De belangrijkste maatregel bestaat erin dat de uitstapleeftijd vanaf 1 september 2002 wordt  opgetrokken tot 58 jaar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behalve voor de personeelsleden die uitsluitend vastbenoemd titularis zijn van een betrekking in het ambt van kleuteronderwijzer of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kleuteronderwijzer algemene en sociale vorming. De uitstapleeftijd wordt voor deze personeelsleden op 56 jaar gebracht.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 nieuwe regeling bevat evenwel een aantal overgangsbepalingen: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Personeelsleden die ten laatste op 31 augustus 2002 55 jaar worden, behouden de voorwaarden van de vroegere regeling. Zij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kunnen ook na de leeftijd van 55 jaar blijven uitstappen onder de voorwaarden vastgelegd onder deze regeling. Het enige verschil is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dat er voor deze groep vanaf 1 september 2002 nog slechts 3 mogelijke uitstapdata zijn: 1 september, 1 januari en 1 april.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De personeelsleden die geboren zijn na 31 augustus 1947 en vóór 1 september 1952  (behalve het hoger onderwijs nu ook vóór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september 1954) kunnen, als gevolg van een overgangsmaatregel, gedurende een aantal  maanden een bijkomende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terbeschikkingstelling krijgen.   Dat aantal maanden laat hen toe om vóór hun 58ste verjaardag (56ste verjaardag voor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personeelsleden die uitsluitend titularis zijn van het ambt van  kleuteronderwijzer of kleuteronderwijzer algemene en sociale vorming)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volledig, maar ook gedeeltelijk uit te stappen. Deze bijkomende terbeschikkingstelling wordt bonus genoemd. De bonus moet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onmiddellijk vóór de volledige terbeschikkingstelling voorafgaand aan het rustpensioen vanaf de leeftijd van 58 of 56 jaar, of vóór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pensioen worden opgenomen. De bonus kan nooit ingaan vóór de leeftijd van 55 jaar.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3.8515625" style="0" customWidth="1"/>
  </cols>
  <sheetData>
    <row r="1" ht="15">
      <c r="A1" s="238" t="s">
        <v>85</v>
      </c>
    </row>
    <row r="3" spans="1:3" ht="12.75">
      <c r="A3" s="4" t="s">
        <v>111</v>
      </c>
      <c r="C3" t="s">
        <v>86</v>
      </c>
    </row>
    <row r="5" ht="12.75">
      <c r="A5" s="26" t="s">
        <v>87</v>
      </c>
    </row>
    <row r="6" spans="1:3" ht="12.75">
      <c r="A6" t="s">
        <v>99</v>
      </c>
      <c r="C6" s="4" t="s">
        <v>88</v>
      </c>
    </row>
    <row r="7" spans="1:3" ht="12.75">
      <c r="A7" t="s">
        <v>100</v>
      </c>
      <c r="C7" s="4" t="s">
        <v>89</v>
      </c>
    </row>
    <row r="8" spans="1:3" ht="12.75">
      <c r="A8" t="s">
        <v>101</v>
      </c>
      <c r="C8" s="4" t="s">
        <v>90</v>
      </c>
    </row>
    <row r="9" ht="12.75">
      <c r="C9" s="4"/>
    </row>
    <row r="10" spans="1:3" ht="12.75">
      <c r="A10" s="26" t="s">
        <v>91</v>
      </c>
      <c r="C10" s="4"/>
    </row>
    <row r="11" spans="1:3" ht="12.75">
      <c r="A11" t="s">
        <v>102</v>
      </c>
      <c r="C11" s="4" t="s">
        <v>92</v>
      </c>
    </row>
    <row r="12" spans="1:3" ht="12.75">
      <c r="A12" t="s">
        <v>103</v>
      </c>
      <c r="C12" s="4" t="s">
        <v>93</v>
      </c>
    </row>
    <row r="13" spans="1:3" ht="12.75">
      <c r="A13" t="s">
        <v>104</v>
      </c>
      <c r="C13" s="4" t="s">
        <v>94</v>
      </c>
    </row>
    <row r="14" spans="1:3" ht="12.75">
      <c r="A14" t="s">
        <v>105</v>
      </c>
      <c r="C14" s="4" t="s">
        <v>95</v>
      </c>
    </row>
    <row r="15" spans="1:3" ht="12.75">
      <c r="A15" t="s">
        <v>106</v>
      </c>
      <c r="C15" s="4" t="s">
        <v>89</v>
      </c>
    </row>
    <row r="16" spans="1:3" ht="12.75">
      <c r="A16" t="s">
        <v>107</v>
      </c>
      <c r="C16" s="4" t="s">
        <v>96</v>
      </c>
    </row>
    <row r="17" spans="1:3" ht="12.75">
      <c r="A17" t="s">
        <v>110</v>
      </c>
      <c r="C17" s="4" t="s">
        <v>97</v>
      </c>
    </row>
    <row r="18" spans="1:3" ht="12.75">
      <c r="A18" t="s">
        <v>108</v>
      </c>
      <c r="C18" s="4" t="s">
        <v>98</v>
      </c>
    </row>
    <row r="19" spans="1:3" ht="12.75">
      <c r="A19" t="s">
        <v>109</v>
      </c>
      <c r="C19" s="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G85" sqref="G85"/>
    </sheetView>
  </sheetViews>
  <sheetFormatPr defaultColWidth="9.140625" defaultRowHeight="12.75"/>
  <cols>
    <col min="1" max="1" width="37.57421875" style="119" customWidth="1"/>
    <col min="2" max="9" width="10.140625" style="119" customWidth="1"/>
    <col min="10" max="16384" width="9.140625" style="119" customWidth="1"/>
  </cols>
  <sheetData>
    <row r="1" ht="12.75">
      <c r="A1" s="118" t="s">
        <v>65</v>
      </c>
    </row>
    <row r="2" spans="1:9" ht="12.75">
      <c r="A2" s="121" t="s">
        <v>19</v>
      </c>
      <c r="B2" s="122"/>
      <c r="C2" s="122"/>
      <c r="D2" s="122"/>
      <c r="E2" s="122"/>
      <c r="F2" s="122"/>
      <c r="G2" s="122"/>
      <c r="H2" s="122"/>
      <c r="I2" s="122"/>
    </row>
    <row r="3" spans="1:9" ht="12.75">
      <c r="A3" s="123"/>
      <c r="B3" s="124"/>
      <c r="C3" s="124"/>
      <c r="D3" s="124"/>
      <c r="E3" s="124"/>
      <c r="F3" s="124"/>
      <c r="G3" s="124"/>
      <c r="H3" s="124"/>
      <c r="I3" s="124"/>
    </row>
    <row r="4" spans="1:9" ht="12.75">
      <c r="A4" s="121" t="s">
        <v>71</v>
      </c>
      <c r="B4" s="122"/>
      <c r="C4" s="122"/>
      <c r="D4" s="122"/>
      <c r="E4" s="122"/>
      <c r="F4" s="122"/>
      <c r="G4" s="122"/>
      <c r="H4" s="122"/>
      <c r="I4" s="122"/>
    </row>
    <row r="5" ht="13.5" thickBot="1">
      <c r="A5" s="120"/>
    </row>
    <row r="6" spans="1:9" ht="12.75">
      <c r="A6" s="125"/>
      <c r="B6" s="126"/>
      <c r="C6" s="126"/>
      <c r="D6" s="126"/>
      <c r="E6" s="126"/>
      <c r="F6" s="126"/>
      <c r="G6" s="126"/>
      <c r="H6" s="126"/>
      <c r="I6" s="126"/>
    </row>
    <row r="7" spans="1:9" s="150" customFormat="1" ht="12.75">
      <c r="A7" s="148"/>
      <c r="B7" s="149" t="s">
        <v>20</v>
      </c>
      <c r="C7" s="149" t="s">
        <v>49</v>
      </c>
      <c r="D7" s="149" t="s">
        <v>50</v>
      </c>
      <c r="E7" s="149" t="s">
        <v>53</v>
      </c>
      <c r="F7" s="149" t="s">
        <v>54</v>
      </c>
      <c r="G7" s="149" t="s">
        <v>55</v>
      </c>
      <c r="H7" s="149" t="s">
        <v>56</v>
      </c>
      <c r="I7" s="149" t="s">
        <v>67</v>
      </c>
    </row>
    <row r="8" spans="1:9" ht="12.75">
      <c r="A8" s="127"/>
      <c r="B8" s="128"/>
      <c r="C8" s="128"/>
      <c r="D8" s="128"/>
      <c r="E8" s="128"/>
      <c r="F8" s="128"/>
      <c r="G8" s="128"/>
      <c r="H8" s="128"/>
      <c r="I8" s="128"/>
    </row>
    <row r="9" spans="1:9" ht="12.75">
      <c r="A9" s="118"/>
      <c r="B9" s="129"/>
      <c r="C9" s="129"/>
      <c r="D9" s="129"/>
      <c r="E9" s="129"/>
      <c r="F9" s="129"/>
      <c r="G9" s="129"/>
      <c r="H9" s="129"/>
      <c r="I9" s="129"/>
    </row>
    <row r="10" spans="1:9" ht="12.75">
      <c r="A10" s="118" t="s">
        <v>7</v>
      </c>
      <c r="B10" s="128"/>
      <c r="C10" s="128"/>
      <c r="D10" s="128"/>
      <c r="E10" s="128"/>
      <c r="F10" s="128"/>
      <c r="G10" s="128"/>
      <c r="H10" s="128"/>
      <c r="I10" s="128"/>
    </row>
    <row r="11" spans="1:9" ht="12.75">
      <c r="A11" s="120" t="s">
        <v>21</v>
      </c>
      <c r="B11" s="130">
        <f>7443+17522+4510+9058</f>
        <v>38533</v>
      </c>
      <c r="C11" s="130">
        <v>39311</v>
      </c>
      <c r="D11" s="130">
        <v>40598</v>
      </c>
      <c r="E11" s="130">
        <v>40062</v>
      </c>
      <c r="F11" s="130">
        <v>40345</v>
      </c>
      <c r="G11" s="130">
        <v>39508</v>
      </c>
      <c r="H11" s="130">
        <v>39133</v>
      </c>
      <c r="I11" s="130">
        <v>38838</v>
      </c>
    </row>
    <row r="12" spans="1:9" ht="12.75">
      <c r="A12" s="120" t="s">
        <v>22</v>
      </c>
      <c r="B12" s="130">
        <f>2878+5945+2191+3283+27+28</f>
        <v>14352</v>
      </c>
      <c r="C12" s="130">
        <f>14376+18+13</f>
        <v>14407</v>
      </c>
      <c r="D12" s="130">
        <v>13634</v>
      </c>
      <c r="E12" s="130">
        <v>13848</v>
      </c>
      <c r="F12" s="130">
        <v>13739</v>
      </c>
      <c r="G12" s="130">
        <v>14234</v>
      </c>
      <c r="H12" s="130">
        <v>14645</v>
      </c>
      <c r="I12" s="130">
        <v>14947</v>
      </c>
    </row>
    <row r="13" spans="1:9" s="133" customFormat="1" ht="12.75">
      <c r="A13" s="131" t="s">
        <v>4</v>
      </c>
      <c r="B13" s="132">
        <f aca="true" t="shared" si="0" ref="B13:I13">SUM(B11:B12)</f>
        <v>52885</v>
      </c>
      <c r="C13" s="132">
        <f t="shared" si="0"/>
        <v>53718</v>
      </c>
      <c r="D13" s="132">
        <f t="shared" si="0"/>
        <v>54232</v>
      </c>
      <c r="E13" s="132">
        <f t="shared" si="0"/>
        <v>53910</v>
      </c>
      <c r="F13" s="132">
        <f t="shared" si="0"/>
        <v>54084</v>
      </c>
      <c r="G13" s="132">
        <f t="shared" si="0"/>
        <v>53742</v>
      </c>
      <c r="H13" s="132">
        <f t="shared" si="0"/>
        <v>53778</v>
      </c>
      <c r="I13" s="132">
        <f t="shared" si="0"/>
        <v>53785</v>
      </c>
    </row>
    <row r="14" spans="1:9" ht="12.75">
      <c r="A14" s="134"/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118" t="s">
        <v>11</v>
      </c>
      <c r="B15" s="130"/>
      <c r="C15" s="130"/>
      <c r="D15" s="130"/>
      <c r="E15" s="130"/>
      <c r="F15" s="130"/>
      <c r="G15" s="130"/>
      <c r="H15" s="130"/>
      <c r="I15" s="130"/>
    </row>
    <row r="16" spans="1:9" ht="12.75">
      <c r="A16" s="120" t="s">
        <v>21</v>
      </c>
      <c r="B16" s="130">
        <f>243+2877+110+1007</f>
        <v>4237</v>
      </c>
      <c r="C16" s="130">
        <v>4319</v>
      </c>
      <c r="D16" s="130">
        <v>4416</v>
      </c>
      <c r="E16" s="130">
        <v>4457</v>
      </c>
      <c r="F16" s="130">
        <v>4558</v>
      </c>
      <c r="G16" s="130">
        <v>4580</v>
      </c>
      <c r="H16" s="130">
        <v>4605</v>
      </c>
      <c r="I16" s="130">
        <v>4714</v>
      </c>
    </row>
    <row r="17" spans="1:9" ht="12.75">
      <c r="A17" s="120" t="s">
        <v>22</v>
      </c>
      <c r="B17" s="130">
        <f>93+866+55+395+10+24</f>
        <v>1443</v>
      </c>
      <c r="C17" s="130">
        <f>1502+9+22</f>
        <v>1533</v>
      </c>
      <c r="D17" s="130">
        <v>1552</v>
      </c>
      <c r="E17" s="130">
        <v>1601</v>
      </c>
      <c r="F17" s="130">
        <v>1711</v>
      </c>
      <c r="G17" s="130">
        <v>1808</v>
      </c>
      <c r="H17" s="130">
        <v>1888</v>
      </c>
      <c r="I17" s="130">
        <v>1888</v>
      </c>
    </row>
    <row r="18" spans="1:9" s="133" customFormat="1" ht="12.75">
      <c r="A18" s="131" t="s">
        <v>4</v>
      </c>
      <c r="B18" s="132">
        <f aca="true" t="shared" si="1" ref="B18:I18">SUM(B16:B17)</f>
        <v>5680</v>
      </c>
      <c r="C18" s="132">
        <f t="shared" si="1"/>
        <v>5852</v>
      </c>
      <c r="D18" s="132">
        <f t="shared" si="1"/>
        <v>5968</v>
      </c>
      <c r="E18" s="132">
        <f t="shared" si="1"/>
        <v>6058</v>
      </c>
      <c r="F18" s="132">
        <f t="shared" si="1"/>
        <v>6269</v>
      </c>
      <c r="G18" s="132">
        <f t="shared" si="1"/>
        <v>6388</v>
      </c>
      <c r="H18" s="132">
        <f t="shared" si="1"/>
        <v>6493</v>
      </c>
      <c r="I18" s="132">
        <f t="shared" si="1"/>
        <v>6602</v>
      </c>
    </row>
    <row r="19" spans="1:9" ht="12.75">
      <c r="A19" s="120"/>
      <c r="B19" s="130"/>
      <c r="C19" s="130"/>
      <c r="D19" s="130"/>
      <c r="E19" s="130"/>
      <c r="F19" s="130"/>
      <c r="G19" s="130"/>
      <c r="H19" s="130"/>
      <c r="I19" s="130"/>
    </row>
    <row r="20" spans="1:9" ht="12.75">
      <c r="A20" s="118" t="s">
        <v>12</v>
      </c>
      <c r="B20" s="130"/>
      <c r="C20" s="130"/>
      <c r="D20" s="130"/>
      <c r="E20" s="130"/>
      <c r="F20" s="130"/>
      <c r="G20" s="130"/>
      <c r="H20" s="130"/>
      <c r="I20" s="130"/>
    </row>
    <row r="21" spans="1:9" ht="12.75">
      <c r="A21" s="120" t="s">
        <v>21</v>
      </c>
      <c r="B21" s="130">
        <f>30863+15787</f>
        <v>46650</v>
      </c>
      <c r="C21" s="130">
        <v>46323</v>
      </c>
      <c r="D21" s="130">
        <v>46087</v>
      </c>
      <c r="E21" s="130">
        <v>45940</v>
      </c>
      <c r="F21" s="130">
        <v>46149</v>
      </c>
      <c r="G21" s="130">
        <v>46088</v>
      </c>
      <c r="H21" s="130">
        <v>46365</v>
      </c>
      <c r="I21" s="130">
        <v>46662</v>
      </c>
    </row>
    <row r="22" spans="1:9" ht="12.75">
      <c r="A22" s="120" t="s">
        <v>22</v>
      </c>
      <c r="B22" s="130">
        <f>8603+4991+17+9</f>
        <v>13620</v>
      </c>
      <c r="C22" s="130">
        <f>14984+15+9</f>
        <v>15008</v>
      </c>
      <c r="D22" s="130">
        <v>15583</v>
      </c>
      <c r="E22" s="130">
        <v>16140</v>
      </c>
      <c r="F22" s="130">
        <v>15964</v>
      </c>
      <c r="G22" s="130">
        <v>16224</v>
      </c>
      <c r="H22" s="130">
        <v>16213</v>
      </c>
      <c r="I22" s="130">
        <v>16934</v>
      </c>
    </row>
    <row r="23" spans="1:9" s="133" customFormat="1" ht="12.75">
      <c r="A23" s="131" t="s">
        <v>4</v>
      </c>
      <c r="B23" s="132">
        <f aca="true" t="shared" si="2" ref="B23:I23">SUM(B21:B22)</f>
        <v>60270</v>
      </c>
      <c r="C23" s="132">
        <f t="shared" si="2"/>
        <v>61331</v>
      </c>
      <c r="D23" s="132">
        <f t="shared" si="2"/>
        <v>61670</v>
      </c>
      <c r="E23" s="132">
        <f t="shared" si="2"/>
        <v>62080</v>
      </c>
      <c r="F23" s="132">
        <f t="shared" si="2"/>
        <v>62113</v>
      </c>
      <c r="G23" s="132">
        <f t="shared" si="2"/>
        <v>62312</v>
      </c>
      <c r="H23" s="132">
        <f t="shared" si="2"/>
        <v>62578</v>
      </c>
      <c r="I23" s="132">
        <f t="shared" si="2"/>
        <v>63596</v>
      </c>
    </row>
    <row r="24" spans="1:9" ht="12.75">
      <c r="A24" s="134"/>
      <c r="B24" s="130"/>
      <c r="C24" s="130"/>
      <c r="D24" s="130"/>
      <c r="E24" s="130"/>
      <c r="F24" s="130"/>
      <c r="G24" s="130"/>
      <c r="H24" s="130"/>
      <c r="I24" s="130"/>
    </row>
    <row r="25" spans="1:9" ht="12.75">
      <c r="A25" s="118" t="s">
        <v>13</v>
      </c>
      <c r="B25" s="130"/>
      <c r="C25" s="130"/>
      <c r="D25" s="130"/>
      <c r="E25" s="130"/>
      <c r="F25" s="130"/>
      <c r="G25" s="130"/>
      <c r="H25" s="130"/>
      <c r="I25" s="130"/>
    </row>
    <row r="26" spans="1:9" ht="12.75">
      <c r="A26" s="120" t="s">
        <v>21</v>
      </c>
      <c r="B26" s="130">
        <f>2965+856</f>
        <v>3821</v>
      </c>
      <c r="C26" s="130">
        <v>3833</v>
      </c>
      <c r="D26" s="130">
        <v>3853</v>
      </c>
      <c r="E26" s="130">
        <v>3870</v>
      </c>
      <c r="F26" s="130">
        <v>3971</v>
      </c>
      <c r="G26" s="130">
        <v>4051</v>
      </c>
      <c r="H26" s="130">
        <v>4162</v>
      </c>
      <c r="I26" s="130">
        <v>4309</v>
      </c>
    </row>
    <row r="27" spans="1:9" ht="12.75">
      <c r="A27" s="120" t="s">
        <v>22</v>
      </c>
      <c r="B27" s="130">
        <f>855+348+11</f>
        <v>1214</v>
      </c>
      <c r="C27" s="130">
        <f>1324+10</f>
        <v>1334</v>
      </c>
      <c r="D27" s="130">
        <v>1428</v>
      </c>
      <c r="E27" s="130">
        <v>1564</v>
      </c>
      <c r="F27" s="130">
        <v>1670</v>
      </c>
      <c r="G27" s="130">
        <v>1830</v>
      </c>
      <c r="H27" s="130">
        <v>1923</v>
      </c>
      <c r="I27" s="130">
        <v>1933</v>
      </c>
    </row>
    <row r="28" spans="1:9" s="133" customFormat="1" ht="12.75">
      <c r="A28" s="131" t="s">
        <v>4</v>
      </c>
      <c r="B28" s="132">
        <f aca="true" t="shared" si="3" ref="B28:I28">SUM(B26:B27)</f>
        <v>5035</v>
      </c>
      <c r="C28" s="132">
        <f t="shared" si="3"/>
        <v>5167</v>
      </c>
      <c r="D28" s="132">
        <f t="shared" si="3"/>
        <v>5281</v>
      </c>
      <c r="E28" s="132">
        <f t="shared" si="3"/>
        <v>5434</v>
      </c>
      <c r="F28" s="132">
        <f t="shared" si="3"/>
        <v>5641</v>
      </c>
      <c r="G28" s="132">
        <f t="shared" si="3"/>
        <v>5881</v>
      </c>
      <c r="H28" s="132">
        <f t="shared" si="3"/>
        <v>6085</v>
      </c>
      <c r="I28" s="132">
        <f t="shared" si="3"/>
        <v>6242</v>
      </c>
    </row>
    <row r="29" spans="1:9" ht="12.75">
      <c r="A29" s="120"/>
      <c r="B29" s="130"/>
      <c r="C29" s="130"/>
      <c r="D29" s="130"/>
      <c r="E29" s="130"/>
      <c r="F29" s="130"/>
      <c r="G29" s="130"/>
      <c r="H29" s="130"/>
      <c r="I29" s="130"/>
    </row>
    <row r="30" spans="1:9" ht="12.75">
      <c r="A30" s="118" t="s">
        <v>14</v>
      </c>
      <c r="B30" s="130"/>
      <c r="C30" s="130"/>
      <c r="D30" s="130"/>
      <c r="E30" s="130"/>
      <c r="F30" s="130"/>
      <c r="G30" s="130"/>
      <c r="H30" s="130"/>
      <c r="I30" s="130"/>
    </row>
    <row r="31" spans="1:9" ht="12.75">
      <c r="A31" s="120" t="s">
        <v>21</v>
      </c>
      <c r="B31" s="130">
        <f>4274+1085+115+49</f>
        <v>5523</v>
      </c>
      <c r="C31" s="130">
        <v>5621</v>
      </c>
      <c r="D31" s="130">
        <v>5449</v>
      </c>
      <c r="E31" s="130">
        <v>5353</v>
      </c>
      <c r="F31" s="130">
        <v>5360</v>
      </c>
      <c r="G31" s="130">
        <v>5341</v>
      </c>
      <c r="H31" s="130">
        <v>5395</v>
      </c>
      <c r="I31" s="130">
        <v>5401</v>
      </c>
    </row>
    <row r="32" spans="1:9" ht="12.75">
      <c r="A32" s="120" t="s">
        <v>22</v>
      </c>
      <c r="B32" s="130">
        <f>1959+1940+10+4</f>
        <v>3913</v>
      </c>
      <c r="C32" s="130">
        <v>3807</v>
      </c>
      <c r="D32" s="130">
        <v>3903</v>
      </c>
      <c r="E32" s="130">
        <v>4059</v>
      </c>
      <c r="F32" s="130">
        <v>4116</v>
      </c>
      <c r="G32" s="130">
        <v>4248</v>
      </c>
      <c r="H32" s="130">
        <v>4350</v>
      </c>
      <c r="I32" s="130">
        <v>4742</v>
      </c>
    </row>
    <row r="33" spans="1:9" s="133" customFormat="1" ht="12.75">
      <c r="A33" s="131" t="s">
        <v>4</v>
      </c>
      <c r="B33" s="132">
        <f aca="true" t="shared" si="4" ref="B33:I33">SUM(B31:B32)</f>
        <v>9436</v>
      </c>
      <c r="C33" s="132">
        <f t="shared" si="4"/>
        <v>9428</v>
      </c>
      <c r="D33" s="132">
        <f t="shared" si="4"/>
        <v>9352</v>
      </c>
      <c r="E33" s="132">
        <f t="shared" si="4"/>
        <v>9412</v>
      </c>
      <c r="F33" s="132">
        <f t="shared" si="4"/>
        <v>9476</v>
      </c>
      <c r="G33" s="132">
        <f t="shared" si="4"/>
        <v>9589</v>
      </c>
      <c r="H33" s="132">
        <f t="shared" si="4"/>
        <v>9745</v>
      </c>
      <c r="I33" s="132">
        <f t="shared" si="4"/>
        <v>10143</v>
      </c>
    </row>
    <row r="34" spans="1:9" s="133" customFormat="1" ht="12.75">
      <c r="A34" s="131"/>
      <c r="B34" s="135"/>
      <c r="C34" s="135"/>
      <c r="D34" s="135"/>
      <c r="E34" s="135"/>
      <c r="F34" s="135"/>
      <c r="G34" s="135"/>
      <c r="H34" s="135"/>
      <c r="I34" s="135"/>
    </row>
    <row r="35" spans="1:9" s="42" customFormat="1" ht="12.75">
      <c r="A35" s="220" t="s">
        <v>74</v>
      </c>
      <c r="B35" s="44"/>
      <c r="C35" s="44"/>
      <c r="D35" s="44"/>
      <c r="E35" s="44"/>
      <c r="F35" s="44"/>
      <c r="G35" s="44"/>
      <c r="H35" s="44"/>
      <c r="I35" s="44"/>
    </row>
    <row r="36" spans="1:9" s="42" customFormat="1" ht="12.75">
      <c r="A36" s="29" t="s">
        <v>21</v>
      </c>
      <c r="B36" s="44"/>
      <c r="C36" s="44"/>
      <c r="D36" s="44"/>
      <c r="E36" s="44"/>
      <c r="F36" s="44"/>
      <c r="G36" s="44"/>
      <c r="H36" s="44"/>
      <c r="I36" s="44">
        <v>0</v>
      </c>
    </row>
    <row r="37" spans="1:9" s="42" customFormat="1" ht="12.75">
      <c r="A37" s="29" t="s">
        <v>22</v>
      </c>
      <c r="B37" s="44"/>
      <c r="C37" s="44"/>
      <c r="D37" s="44"/>
      <c r="E37" s="44"/>
      <c r="F37" s="44"/>
      <c r="G37" s="44"/>
      <c r="H37" s="44"/>
      <c r="I37" s="39">
        <v>736</v>
      </c>
    </row>
    <row r="38" spans="1:9" s="42" customFormat="1" ht="12.75">
      <c r="A38" s="40" t="s">
        <v>4</v>
      </c>
      <c r="B38" s="41"/>
      <c r="C38" s="41"/>
      <c r="D38" s="41"/>
      <c r="E38" s="41"/>
      <c r="F38" s="41"/>
      <c r="G38" s="41"/>
      <c r="H38" s="41"/>
      <c r="I38" s="41">
        <f>I36+I37</f>
        <v>736</v>
      </c>
    </row>
    <row r="39" spans="1:9" ht="12.75">
      <c r="A39" s="131"/>
      <c r="B39" s="130"/>
      <c r="C39" s="130"/>
      <c r="D39" s="130"/>
      <c r="E39" s="130"/>
      <c r="F39" s="130"/>
      <c r="G39" s="130"/>
      <c r="H39" s="130"/>
      <c r="I39" s="130"/>
    </row>
    <row r="40" spans="1:9" ht="12.75">
      <c r="A40" s="1" t="s">
        <v>62</v>
      </c>
      <c r="B40" s="130"/>
      <c r="C40" s="130"/>
      <c r="D40" s="130"/>
      <c r="E40" s="130"/>
      <c r="F40" s="130"/>
      <c r="G40" s="130"/>
      <c r="H40" s="130"/>
      <c r="I40" s="130"/>
    </row>
    <row r="41" spans="1:9" ht="12.75">
      <c r="A41" s="120" t="s">
        <v>21</v>
      </c>
      <c r="B41" s="130">
        <f>854+1009</f>
        <v>1863</v>
      </c>
      <c r="C41" s="130">
        <v>2049</v>
      </c>
      <c r="D41" s="130">
        <v>2305</v>
      </c>
      <c r="E41" s="130">
        <v>2541</v>
      </c>
      <c r="F41" s="130">
        <v>2748</v>
      </c>
      <c r="G41" s="130">
        <v>2940</v>
      </c>
      <c r="H41" s="130">
        <v>3057</v>
      </c>
      <c r="I41" s="130">
        <v>3118</v>
      </c>
    </row>
    <row r="42" spans="1:9" ht="12.75">
      <c r="A42" s="120" t="s">
        <v>22</v>
      </c>
      <c r="B42" s="130">
        <f>554+1989</f>
        <v>2543</v>
      </c>
      <c r="C42" s="130">
        <v>2576</v>
      </c>
      <c r="D42" s="130">
        <v>2556</v>
      </c>
      <c r="E42" s="130">
        <v>2576</v>
      </c>
      <c r="F42" s="130">
        <v>2388</v>
      </c>
      <c r="G42" s="130">
        <v>2469</v>
      </c>
      <c r="H42" s="130">
        <v>2366</v>
      </c>
      <c r="I42" s="130">
        <v>2391</v>
      </c>
    </row>
    <row r="43" spans="1:9" s="133" customFormat="1" ht="12.75">
      <c r="A43" s="131" t="s">
        <v>4</v>
      </c>
      <c r="B43" s="132">
        <f aca="true" t="shared" si="5" ref="B43:I43">SUM(B41:B42)</f>
        <v>4406</v>
      </c>
      <c r="C43" s="132">
        <f t="shared" si="5"/>
        <v>4625</v>
      </c>
      <c r="D43" s="132">
        <f t="shared" si="5"/>
        <v>4861</v>
      </c>
      <c r="E43" s="132">
        <f t="shared" si="5"/>
        <v>5117</v>
      </c>
      <c r="F43" s="132">
        <f t="shared" si="5"/>
        <v>5136</v>
      </c>
      <c r="G43" s="132">
        <f t="shared" si="5"/>
        <v>5409</v>
      </c>
      <c r="H43" s="132">
        <f t="shared" si="5"/>
        <v>5423</v>
      </c>
      <c r="I43" s="132">
        <f t="shared" si="5"/>
        <v>5509</v>
      </c>
    </row>
    <row r="44" spans="1:9" ht="12.75">
      <c r="A44" s="120"/>
      <c r="B44" s="130"/>
      <c r="C44" s="130"/>
      <c r="D44" s="130"/>
      <c r="E44" s="130"/>
      <c r="F44" s="130"/>
      <c r="G44" s="130"/>
      <c r="H44" s="130"/>
      <c r="I44" s="130"/>
    </row>
    <row r="45" spans="1:9" ht="12.75">
      <c r="A45" s="1" t="s">
        <v>63</v>
      </c>
      <c r="B45" s="130"/>
      <c r="C45" s="130"/>
      <c r="D45" s="130"/>
      <c r="E45" s="130"/>
      <c r="F45" s="130"/>
      <c r="G45" s="130"/>
      <c r="H45" s="130"/>
      <c r="I45" s="130"/>
    </row>
    <row r="46" spans="1:9" ht="12.75">
      <c r="A46" s="120" t="s">
        <v>21</v>
      </c>
      <c r="B46" s="130">
        <f>156+136</f>
        <v>292</v>
      </c>
      <c r="C46" s="130">
        <v>311</v>
      </c>
      <c r="D46" s="130">
        <v>357</v>
      </c>
      <c r="E46" s="130">
        <v>375</v>
      </c>
      <c r="F46" s="130">
        <v>405</v>
      </c>
      <c r="G46" s="130">
        <v>439</v>
      </c>
      <c r="H46" s="130">
        <v>457</v>
      </c>
      <c r="I46" s="130">
        <v>469</v>
      </c>
    </row>
    <row r="47" spans="1:9" ht="12.75">
      <c r="A47" s="120" t="s">
        <v>22</v>
      </c>
      <c r="B47" s="130">
        <f>60+862</f>
        <v>922</v>
      </c>
      <c r="C47" s="130">
        <v>971</v>
      </c>
      <c r="D47" s="130">
        <v>930</v>
      </c>
      <c r="E47" s="130">
        <v>871</v>
      </c>
      <c r="F47" s="130">
        <v>824</v>
      </c>
      <c r="G47" s="130">
        <v>794</v>
      </c>
      <c r="H47" s="130">
        <v>805</v>
      </c>
      <c r="I47" s="130">
        <v>756</v>
      </c>
    </row>
    <row r="48" spans="1:9" s="133" customFormat="1" ht="12.75">
      <c r="A48" s="131" t="s">
        <v>4</v>
      </c>
      <c r="B48" s="132">
        <f aca="true" t="shared" si="6" ref="B48:I48">SUM(B46:B47)</f>
        <v>1214</v>
      </c>
      <c r="C48" s="132">
        <f t="shared" si="6"/>
        <v>1282</v>
      </c>
      <c r="D48" s="132">
        <f t="shared" si="6"/>
        <v>1287</v>
      </c>
      <c r="E48" s="132">
        <f t="shared" si="6"/>
        <v>1246</v>
      </c>
      <c r="F48" s="132">
        <f t="shared" si="6"/>
        <v>1229</v>
      </c>
      <c r="G48" s="132">
        <f t="shared" si="6"/>
        <v>1233</v>
      </c>
      <c r="H48" s="132">
        <f t="shared" si="6"/>
        <v>1262</v>
      </c>
      <c r="I48" s="132">
        <f t="shared" si="6"/>
        <v>1225</v>
      </c>
    </row>
    <row r="49" spans="1:9" s="133" customFormat="1" ht="12.75">
      <c r="A49" s="131"/>
      <c r="B49" s="135"/>
      <c r="C49" s="135"/>
      <c r="D49" s="135"/>
      <c r="E49" s="135"/>
      <c r="F49" s="135"/>
      <c r="G49" s="135"/>
      <c r="H49" s="135"/>
      <c r="I49" s="135"/>
    </row>
    <row r="50" spans="1:9" ht="12.75">
      <c r="A50" s="118" t="s">
        <v>15</v>
      </c>
      <c r="B50" s="130"/>
      <c r="C50" s="130"/>
      <c r="D50" s="130"/>
      <c r="E50" s="130"/>
      <c r="F50" s="130"/>
      <c r="G50" s="130"/>
      <c r="H50" s="130"/>
      <c r="I50" s="130"/>
    </row>
    <row r="51" spans="1:9" ht="12.75">
      <c r="A51" s="120" t="s">
        <v>21</v>
      </c>
      <c r="B51" s="130">
        <f>1452+1665</f>
        <v>3117</v>
      </c>
      <c r="C51" s="130">
        <v>3164</v>
      </c>
      <c r="D51" s="130">
        <v>3173</v>
      </c>
      <c r="E51" s="130">
        <v>3226</v>
      </c>
      <c r="F51" s="130">
        <v>3294</v>
      </c>
      <c r="G51" s="130">
        <v>3339</v>
      </c>
      <c r="H51" s="130">
        <v>3439</v>
      </c>
      <c r="I51" s="130">
        <v>3494</v>
      </c>
    </row>
    <row r="52" spans="1:9" ht="12.75">
      <c r="A52" s="120" t="s">
        <v>22</v>
      </c>
      <c r="B52" s="130">
        <f>112+983</f>
        <v>1095</v>
      </c>
      <c r="C52" s="130">
        <v>1275</v>
      </c>
      <c r="D52" s="130">
        <v>1373</v>
      </c>
      <c r="E52" s="130">
        <v>1467</v>
      </c>
      <c r="F52" s="130">
        <v>1579</v>
      </c>
      <c r="G52" s="130">
        <v>1661</v>
      </c>
      <c r="H52" s="130">
        <v>1715</v>
      </c>
      <c r="I52" s="130">
        <v>1708</v>
      </c>
    </row>
    <row r="53" spans="1:9" s="133" customFormat="1" ht="12.75">
      <c r="A53" s="131" t="s">
        <v>4</v>
      </c>
      <c r="B53" s="132">
        <f aca="true" t="shared" si="7" ref="B53:I53">SUM(B51:B52)</f>
        <v>4212</v>
      </c>
      <c r="C53" s="132">
        <f t="shared" si="7"/>
        <v>4439</v>
      </c>
      <c r="D53" s="132">
        <f t="shared" si="7"/>
        <v>4546</v>
      </c>
      <c r="E53" s="132">
        <f t="shared" si="7"/>
        <v>4693</v>
      </c>
      <c r="F53" s="132">
        <f t="shared" si="7"/>
        <v>4873</v>
      </c>
      <c r="G53" s="132">
        <f t="shared" si="7"/>
        <v>5000</v>
      </c>
      <c r="H53" s="132">
        <f t="shared" si="7"/>
        <v>5154</v>
      </c>
      <c r="I53" s="132">
        <f t="shared" si="7"/>
        <v>5202</v>
      </c>
    </row>
    <row r="54" spans="1:9" ht="12.75">
      <c r="A54" s="200"/>
      <c r="B54" s="201"/>
      <c r="C54" s="201"/>
      <c r="D54" s="201"/>
      <c r="E54" s="201"/>
      <c r="F54" s="201"/>
      <c r="G54" s="201"/>
      <c r="H54" s="201"/>
      <c r="I54" s="201"/>
    </row>
    <row r="55" spans="1:9" ht="12.75">
      <c r="A55" s="136" t="s">
        <v>77</v>
      </c>
      <c r="B55" s="130"/>
      <c r="C55" s="130"/>
      <c r="D55" s="130"/>
      <c r="E55" s="130"/>
      <c r="F55" s="130"/>
      <c r="G55" s="130"/>
      <c r="H55" s="130"/>
      <c r="I55" s="130"/>
    </row>
    <row r="56" spans="1:9" ht="12.75">
      <c r="A56" s="120" t="s">
        <v>21</v>
      </c>
      <c r="B56" s="130">
        <f aca="true" t="shared" si="8" ref="B56:I57">SUM(B11,B16,B21,B26,B31,B41,B46,B51)</f>
        <v>104036</v>
      </c>
      <c r="C56" s="130">
        <f t="shared" si="8"/>
        <v>104931</v>
      </c>
      <c r="D56" s="130">
        <f t="shared" si="8"/>
        <v>106238</v>
      </c>
      <c r="E56" s="130">
        <f t="shared" si="8"/>
        <v>105824</v>
      </c>
      <c r="F56" s="130">
        <f t="shared" si="8"/>
        <v>106830</v>
      </c>
      <c r="G56" s="130">
        <f t="shared" si="8"/>
        <v>106286</v>
      </c>
      <c r="H56" s="130">
        <f t="shared" si="8"/>
        <v>106613</v>
      </c>
      <c r="I56" s="130">
        <f t="shared" si="8"/>
        <v>107005</v>
      </c>
    </row>
    <row r="57" spans="1:9" ht="12.75">
      <c r="A57" s="120" t="s">
        <v>22</v>
      </c>
      <c r="B57" s="130">
        <f t="shared" si="8"/>
        <v>39102</v>
      </c>
      <c r="C57" s="130">
        <f t="shared" si="8"/>
        <v>40911</v>
      </c>
      <c r="D57" s="130">
        <f t="shared" si="8"/>
        <v>40959</v>
      </c>
      <c r="E57" s="130">
        <f t="shared" si="8"/>
        <v>42126</v>
      </c>
      <c r="F57" s="130">
        <f t="shared" si="8"/>
        <v>41991</v>
      </c>
      <c r="G57" s="130">
        <f t="shared" si="8"/>
        <v>43268</v>
      </c>
      <c r="H57" s="130">
        <f t="shared" si="8"/>
        <v>43905</v>
      </c>
      <c r="I57" s="130">
        <f t="shared" si="8"/>
        <v>45299</v>
      </c>
    </row>
    <row r="58" spans="1:9" s="133" customFormat="1" ht="12.75">
      <c r="A58" s="131" t="s">
        <v>4</v>
      </c>
      <c r="B58" s="132">
        <f aca="true" t="shared" si="9" ref="B58:I58">SUM(B56:B57)</f>
        <v>143138</v>
      </c>
      <c r="C58" s="132">
        <f t="shared" si="9"/>
        <v>145842</v>
      </c>
      <c r="D58" s="132">
        <f t="shared" si="9"/>
        <v>147197</v>
      </c>
      <c r="E58" s="132">
        <f t="shared" si="9"/>
        <v>147950</v>
      </c>
      <c r="F58" s="132">
        <f t="shared" si="9"/>
        <v>148821</v>
      </c>
      <c r="G58" s="132">
        <f t="shared" si="9"/>
        <v>149554</v>
      </c>
      <c r="H58" s="132">
        <f t="shared" si="9"/>
        <v>150518</v>
      </c>
      <c r="I58" s="132">
        <f t="shared" si="9"/>
        <v>152304</v>
      </c>
    </row>
    <row r="59" spans="1:9" s="28" customFormat="1" ht="12.75">
      <c r="A59" s="232"/>
      <c r="B59" s="233"/>
      <c r="C59" s="234"/>
      <c r="D59" s="234"/>
      <c r="E59" s="234"/>
      <c r="F59" s="234"/>
      <c r="G59" s="234"/>
      <c r="H59" s="235"/>
      <c r="I59" s="233"/>
    </row>
    <row r="60" spans="1:9" s="28" customFormat="1" ht="12.75">
      <c r="A60" s="45" t="s">
        <v>78</v>
      </c>
      <c r="B60" s="39"/>
      <c r="C60" s="221"/>
      <c r="D60" s="221"/>
      <c r="E60" s="221"/>
      <c r="F60" s="221"/>
      <c r="G60" s="221"/>
      <c r="H60" s="222"/>
      <c r="I60" s="39"/>
    </row>
    <row r="61" spans="1:9" s="28" customFormat="1" ht="12.75">
      <c r="A61" s="29" t="s">
        <v>21</v>
      </c>
      <c r="B61" s="228"/>
      <c r="C61"/>
      <c r="D61"/>
      <c r="E61"/>
      <c r="F61"/>
      <c r="G61"/>
      <c r="H61"/>
      <c r="I61" s="39">
        <f>SUM(I11,I16,I21,I26,I31,I41,I46,I51,I36)</f>
        <v>107005</v>
      </c>
    </row>
    <row r="62" spans="1:9" s="28" customFormat="1" ht="12.75">
      <c r="A62" s="29" t="s">
        <v>22</v>
      </c>
      <c r="B62" s="228"/>
      <c r="C62"/>
      <c r="D62"/>
      <c r="E62"/>
      <c r="F62"/>
      <c r="G62"/>
      <c r="H62"/>
      <c r="I62" s="39">
        <f>SUM(I12,I17,I22,I27,I32,I42,I47,I52,I37)</f>
        <v>46035</v>
      </c>
    </row>
    <row r="63" spans="1:9" s="42" customFormat="1" ht="12.75">
      <c r="A63" s="40" t="s">
        <v>4</v>
      </c>
      <c r="B63" s="229"/>
      <c r="C63" s="230"/>
      <c r="D63" s="230"/>
      <c r="E63" s="230"/>
      <c r="F63" s="230"/>
      <c r="G63" s="230"/>
      <c r="H63" s="231"/>
      <c r="I63" s="41">
        <f>SUM(I61:I62)</f>
        <v>153040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orientation="portrait" paperSize="9" scale="85" r:id="rId1"/>
  <headerFooter alignWithMargins="0">
    <oddFooter>&amp;R&amp;A</oddFooter>
  </headerFooter>
  <rowBreaks count="1" manualBreakCount="1">
    <brk id="4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L45" sqref="L45"/>
    </sheetView>
  </sheetViews>
  <sheetFormatPr defaultColWidth="9.140625" defaultRowHeight="12.75"/>
  <cols>
    <col min="1" max="1" width="28.00390625" style="0" customWidth="1"/>
    <col min="2" max="2" width="11.00390625" style="0" customWidth="1"/>
    <col min="3" max="4" width="10.28125" style="0" customWidth="1"/>
    <col min="10" max="10" width="10.7109375" style="0" customWidth="1"/>
    <col min="13" max="13" width="8.00390625" style="0" customWidth="1"/>
  </cols>
  <sheetData>
    <row r="1" spans="1:10" ht="12.75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43</v>
      </c>
      <c r="B2" s="6"/>
      <c r="C2" s="6"/>
      <c r="D2" s="6"/>
      <c r="E2" s="7"/>
      <c r="F2" s="7"/>
      <c r="G2" s="6"/>
      <c r="H2" s="6"/>
      <c r="I2" s="6"/>
      <c r="J2" s="6"/>
    </row>
    <row r="3" spans="1:10" ht="12.75">
      <c r="A3" s="6"/>
      <c r="B3" s="6"/>
      <c r="C3" s="6"/>
      <c r="D3" s="6"/>
      <c r="E3" s="7"/>
      <c r="F3" s="5"/>
      <c r="G3" s="6"/>
      <c r="H3" s="6"/>
      <c r="I3" s="6"/>
      <c r="J3" s="6"/>
    </row>
    <row r="4" spans="1:10" ht="12.75">
      <c r="A4" s="5" t="s">
        <v>70</v>
      </c>
      <c r="B4" s="6"/>
      <c r="C4" s="6"/>
      <c r="D4" s="6"/>
      <c r="E4" s="7"/>
      <c r="F4" s="7"/>
      <c r="G4" s="6"/>
      <c r="H4" s="6"/>
      <c r="I4" s="6"/>
      <c r="J4" s="6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5" t="s">
        <v>82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3.5" thickBot="1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67"/>
      <c r="B8" s="68" t="s">
        <v>27</v>
      </c>
      <c r="C8" s="69"/>
      <c r="D8" s="69"/>
      <c r="E8" s="68" t="s">
        <v>28</v>
      </c>
      <c r="F8" s="69"/>
      <c r="G8" s="69"/>
      <c r="H8" s="68" t="s">
        <v>4</v>
      </c>
      <c r="I8" s="69"/>
      <c r="J8" s="69"/>
    </row>
    <row r="9" spans="1:10" ht="12.75">
      <c r="A9" s="212" t="s">
        <v>29</v>
      </c>
      <c r="B9" s="71" t="s">
        <v>5</v>
      </c>
      <c r="C9" s="72" t="s">
        <v>6</v>
      </c>
      <c r="D9" s="72" t="s">
        <v>4</v>
      </c>
      <c r="E9" s="71" t="s">
        <v>5</v>
      </c>
      <c r="F9" s="72" t="s">
        <v>6</v>
      </c>
      <c r="G9" s="72" t="s">
        <v>4</v>
      </c>
      <c r="H9" s="71" t="s">
        <v>5</v>
      </c>
      <c r="I9" s="72" t="s">
        <v>6</v>
      </c>
      <c r="J9" s="72" t="s">
        <v>4</v>
      </c>
    </row>
    <row r="10" spans="1:10" ht="12.75">
      <c r="A10" s="73"/>
      <c r="B10" s="13"/>
      <c r="C10" s="74"/>
      <c r="D10" s="74"/>
      <c r="E10" s="13"/>
      <c r="F10" s="74"/>
      <c r="G10" s="74"/>
      <c r="H10" s="13"/>
      <c r="I10" s="74"/>
      <c r="J10" s="74"/>
    </row>
    <row r="11" spans="1:10" ht="12.75">
      <c r="A11" s="2" t="s">
        <v>30</v>
      </c>
      <c r="B11" s="11">
        <f>1</f>
        <v>1</v>
      </c>
      <c r="C11" s="12">
        <f>7</f>
        <v>7</v>
      </c>
      <c r="D11" s="12">
        <f>SUM(B11:C11)</f>
        <v>8</v>
      </c>
      <c r="E11" s="11">
        <f>386+1</f>
        <v>387</v>
      </c>
      <c r="F11" s="12">
        <f>920+2</f>
        <v>922</v>
      </c>
      <c r="G11" s="12">
        <f aca="true" t="shared" si="0" ref="G11:G19">SUM(E11:F11)</f>
        <v>1309</v>
      </c>
      <c r="H11" s="11">
        <f>SUM(B11,E11)</f>
        <v>388</v>
      </c>
      <c r="I11" s="12">
        <f aca="true" t="shared" si="1" ref="I11:I19">SUM(C11,F11)</f>
        <v>929</v>
      </c>
      <c r="J11" s="12">
        <f aca="true" t="shared" si="2" ref="J11:J19">SUM(H11:I11)</f>
        <v>1317</v>
      </c>
    </row>
    <row r="12" spans="1:10" ht="12.75">
      <c r="A12" s="2" t="s">
        <v>31</v>
      </c>
      <c r="B12" s="11">
        <f>174</f>
        <v>174</v>
      </c>
      <c r="C12" s="12">
        <f>639</f>
        <v>639</v>
      </c>
      <c r="D12" s="12">
        <f aca="true" t="shared" si="3" ref="D12:D19">SUM(B12:C12)</f>
        <v>813</v>
      </c>
      <c r="E12" s="11">
        <f>617+2</f>
        <v>619</v>
      </c>
      <c r="F12" s="12">
        <f>1961+7</f>
        <v>1968</v>
      </c>
      <c r="G12" s="12">
        <f t="shared" si="0"/>
        <v>2587</v>
      </c>
      <c r="H12" s="11">
        <f aca="true" t="shared" si="4" ref="H12:H19">SUM(B12,E12)</f>
        <v>793</v>
      </c>
      <c r="I12" s="12">
        <f t="shared" si="1"/>
        <v>2607</v>
      </c>
      <c r="J12" s="12">
        <f t="shared" si="2"/>
        <v>3400</v>
      </c>
    </row>
    <row r="13" spans="1:10" ht="12.75">
      <c r="A13" s="2" t="s">
        <v>32</v>
      </c>
      <c r="B13" s="11">
        <f>315</f>
        <v>315</v>
      </c>
      <c r="C13" s="12">
        <f>1340</f>
        <v>1340</v>
      </c>
      <c r="D13" s="12">
        <f t="shared" si="3"/>
        <v>1655</v>
      </c>
      <c r="E13" s="11">
        <f>363+1</f>
        <v>364</v>
      </c>
      <c r="F13" s="12">
        <f>1211+1</f>
        <v>1212</v>
      </c>
      <c r="G13" s="12">
        <f t="shared" si="0"/>
        <v>1576</v>
      </c>
      <c r="H13" s="11">
        <f t="shared" si="4"/>
        <v>679</v>
      </c>
      <c r="I13" s="12">
        <f t="shared" si="1"/>
        <v>2552</v>
      </c>
      <c r="J13" s="12">
        <f t="shared" si="2"/>
        <v>3231</v>
      </c>
    </row>
    <row r="14" spans="1:10" ht="12.75">
      <c r="A14" s="2" t="s">
        <v>33</v>
      </c>
      <c r="B14" s="13">
        <f>316+1</f>
        <v>317</v>
      </c>
      <c r="C14" s="12">
        <f>1532+2</f>
        <v>1534</v>
      </c>
      <c r="D14" s="12">
        <f t="shared" si="3"/>
        <v>1851</v>
      </c>
      <c r="E14" s="11">
        <f>185+1</f>
        <v>186</v>
      </c>
      <c r="F14" s="12">
        <f>934+2</f>
        <v>936</v>
      </c>
      <c r="G14" s="12">
        <f t="shared" si="0"/>
        <v>1122</v>
      </c>
      <c r="H14" s="11">
        <f t="shared" si="4"/>
        <v>503</v>
      </c>
      <c r="I14" s="12">
        <f t="shared" si="1"/>
        <v>2470</v>
      </c>
      <c r="J14" s="12">
        <f t="shared" si="2"/>
        <v>2973</v>
      </c>
    </row>
    <row r="15" spans="1:10" ht="12.75">
      <c r="A15" s="2" t="s">
        <v>34</v>
      </c>
      <c r="B15" s="13">
        <f>303+12</f>
        <v>315</v>
      </c>
      <c r="C15" s="12">
        <f>1985+8</f>
        <v>1993</v>
      </c>
      <c r="D15" s="12">
        <f t="shared" si="3"/>
        <v>2308</v>
      </c>
      <c r="E15" s="11">
        <f>118</f>
        <v>118</v>
      </c>
      <c r="F15" s="12">
        <f>821</f>
        <v>821</v>
      </c>
      <c r="G15" s="12">
        <f t="shared" si="0"/>
        <v>939</v>
      </c>
      <c r="H15" s="11">
        <f t="shared" si="4"/>
        <v>433</v>
      </c>
      <c r="I15" s="12">
        <f t="shared" si="1"/>
        <v>2814</v>
      </c>
      <c r="J15" s="12">
        <f t="shared" si="2"/>
        <v>3247</v>
      </c>
    </row>
    <row r="16" spans="1:10" ht="12.75">
      <c r="A16" s="2" t="s">
        <v>35</v>
      </c>
      <c r="B16" s="13">
        <f>489+31</f>
        <v>520</v>
      </c>
      <c r="C16" s="12">
        <f>2842+34</f>
        <v>2876</v>
      </c>
      <c r="D16" s="12">
        <f t="shared" si="3"/>
        <v>3396</v>
      </c>
      <c r="E16" s="11">
        <f>111+1</f>
        <v>112</v>
      </c>
      <c r="F16" s="12">
        <f>695+2</f>
        <v>697</v>
      </c>
      <c r="G16" s="12">
        <f t="shared" si="0"/>
        <v>809</v>
      </c>
      <c r="H16" s="11">
        <f t="shared" si="4"/>
        <v>632</v>
      </c>
      <c r="I16" s="12">
        <f t="shared" si="1"/>
        <v>3573</v>
      </c>
      <c r="J16" s="12">
        <f t="shared" si="2"/>
        <v>4205</v>
      </c>
    </row>
    <row r="17" spans="1:10" ht="12.75">
      <c r="A17" s="2" t="s">
        <v>36</v>
      </c>
      <c r="B17" s="13">
        <f>823+76</f>
        <v>899</v>
      </c>
      <c r="C17" s="12">
        <f>2893+46</f>
        <v>2939</v>
      </c>
      <c r="D17" s="12">
        <f t="shared" si="3"/>
        <v>3838</v>
      </c>
      <c r="E17" s="11">
        <f>82</f>
        <v>82</v>
      </c>
      <c r="F17" s="12">
        <f>352</f>
        <v>352</v>
      </c>
      <c r="G17" s="12">
        <f t="shared" si="0"/>
        <v>434</v>
      </c>
      <c r="H17" s="11">
        <f t="shared" si="4"/>
        <v>981</v>
      </c>
      <c r="I17" s="12">
        <f t="shared" si="1"/>
        <v>3291</v>
      </c>
      <c r="J17" s="12">
        <f t="shared" si="2"/>
        <v>4272</v>
      </c>
    </row>
    <row r="18" spans="1:10" ht="12.75">
      <c r="A18" s="2" t="s">
        <v>37</v>
      </c>
      <c r="B18" s="13">
        <f>813+73</f>
        <v>886</v>
      </c>
      <c r="C18" s="12">
        <f>2217+36</f>
        <v>2253</v>
      </c>
      <c r="D18" s="12">
        <f t="shared" si="3"/>
        <v>3139</v>
      </c>
      <c r="E18" s="11">
        <f>36</f>
        <v>36</v>
      </c>
      <c r="F18" s="12">
        <f>100+2</f>
        <v>102</v>
      </c>
      <c r="G18" s="12">
        <f t="shared" si="0"/>
        <v>138</v>
      </c>
      <c r="H18" s="11">
        <f t="shared" si="4"/>
        <v>922</v>
      </c>
      <c r="I18" s="12">
        <f t="shared" si="1"/>
        <v>2355</v>
      </c>
      <c r="J18" s="12">
        <f t="shared" si="2"/>
        <v>3277</v>
      </c>
    </row>
    <row r="19" spans="1:10" ht="12.75">
      <c r="A19" s="2" t="s">
        <v>38</v>
      </c>
      <c r="B19" s="13">
        <f>268+67</f>
        <v>335</v>
      </c>
      <c r="C19" s="12">
        <f>554+8</f>
        <v>562</v>
      </c>
      <c r="D19" s="75">
        <f t="shared" si="3"/>
        <v>897</v>
      </c>
      <c r="E19" s="11">
        <f>13</f>
        <v>13</v>
      </c>
      <c r="F19" s="12">
        <f>17</f>
        <v>17</v>
      </c>
      <c r="G19" s="75">
        <f t="shared" si="0"/>
        <v>30</v>
      </c>
      <c r="H19" s="11">
        <f t="shared" si="4"/>
        <v>348</v>
      </c>
      <c r="I19" s="12">
        <f t="shared" si="1"/>
        <v>579</v>
      </c>
      <c r="J19" s="75">
        <f t="shared" si="2"/>
        <v>927</v>
      </c>
    </row>
    <row r="20" spans="1:10" ht="12.75">
      <c r="A20" s="19" t="s">
        <v>4</v>
      </c>
      <c r="B20" s="76">
        <f aca="true" t="shared" si="5" ref="B20:J20">SUM(B11:B19)</f>
        <v>3762</v>
      </c>
      <c r="C20" s="77">
        <f t="shared" si="5"/>
        <v>14143</v>
      </c>
      <c r="D20" s="77">
        <f t="shared" si="5"/>
        <v>17905</v>
      </c>
      <c r="E20" s="76">
        <f t="shared" si="5"/>
        <v>1917</v>
      </c>
      <c r="F20" s="77">
        <f t="shared" si="5"/>
        <v>7027</v>
      </c>
      <c r="G20" s="77">
        <f t="shared" si="5"/>
        <v>8944</v>
      </c>
      <c r="H20" s="76">
        <f t="shared" si="5"/>
        <v>5679</v>
      </c>
      <c r="I20" s="77">
        <f t="shared" si="5"/>
        <v>21170</v>
      </c>
      <c r="J20" s="77">
        <f t="shared" si="5"/>
        <v>26849</v>
      </c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</row>
    <row r="24" spans="1:10" ht="12.75">
      <c r="A24" s="5" t="s">
        <v>83</v>
      </c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3.5" thickBot="1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7"/>
      <c r="B26" s="68" t="s">
        <v>27</v>
      </c>
      <c r="C26" s="69"/>
      <c r="D26" s="69"/>
      <c r="E26" s="68" t="s">
        <v>28</v>
      </c>
      <c r="F26" s="69"/>
      <c r="G26" s="69"/>
      <c r="H26" s="68" t="s">
        <v>4</v>
      </c>
      <c r="I26" s="69"/>
      <c r="J26" s="69"/>
    </row>
    <row r="27" spans="1:10" ht="12.75">
      <c r="A27" s="212" t="s">
        <v>29</v>
      </c>
      <c r="B27" s="71" t="s">
        <v>5</v>
      </c>
      <c r="C27" s="72" t="s">
        <v>6</v>
      </c>
      <c r="D27" s="72" t="s">
        <v>4</v>
      </c>
      <c r="E27" s="71" t="s">
        <v>5</v>
      </c>
      <c r="F27" s="72" t="s">
        <v>6</v>
      </c>
      <c r="G27" s="72" t="s">
        <v>4</v>
      </c>
      <c r="H27" s="71" t="s">
        <v>5</v>
      </c>
      <c r="I27" s="72" t="s">
        <v>6</v>
      </c>
      <c r="J27" s="72" t="s">
        <v>4</v>
      </c>
    </row>
    <row r="28" spans="1:10" ht="12.75">
      <c r="A28" s="73"/>
      <c r="B28" s="13"/>
      <c r="C28" s="74"/>
      <c r="D28" s="74"/>
      <c r="E28" s="13"/>
      <c r="F28" s="74"/>
      <c r="G28" s="74"/>
      <c r="H28" s="13"/>
      <c r="I28" s="74"/>
      <c r="J28" s="74"/>
    </row>
    <row r="29" spans="1:10" ht="12.75">
      <c r="A29" s="2" t="s">
        <v>30</v>
      </c>
      <c r="B29" s="11">
        <f>1</f>
        <v>1</v>
      </c>
      <c r="C29" s="12">
        <f>7</f>
        <v>7</v>
      </c>
      <c r="D29" s="12">
        <f>SUM(B29:C29)</f>
        <v>8</v>
      </c>
      <c r="E29" s="11">
        <f>386+1+1</f>
        <v>388</v>
      </c>
      <c r="F29" s="12">
        <f>920+2+1</f>
        <v>923</v>
      </c>
      <c r="G29" s="12">
        <f aca="true" t="shared" si="6" ref="G29:G37">SUM(E29:F29)</f>
        <v>1311</v>
      </c>
      <c r="H29" s="11">
        <f>SUM(B29,E29)</f>
        <v>389</v>
      </c>
      <c r="I29" s="12">
        <f aca="true" t="shared" si="7" ref="I29:I37">SUM(C29,F29)</f>
        <v>930</v>
      </c>
      <c r="J29" s="12">
        <f aca="true" t="shared" si="8" ref="J29:J37">SUM(H29:I29)</f>
        <v>1319</v>
      </c>
    </row>
    <row r="30" spans="1:10" ht="12.75">
      <c r="A30" s="2" t="s">
        <v>31</v>
      </c>
      <c r="B30" s="11">
        <f>174</f>
        <v>174</v>
      </c>
      <c r="C30" s="12">
        <f>639</f>
        <v>639</v>
      </c>
      <c r="D30" s="12">
        <f aca="true" t="shared" si="9" ref="D30:D37">SUM(B30:C30)</f>
        <v>813</v>
      </c>
      <c r="E30" s="11">
        <f>617+2</f>
        <v>619</v>
      </c>
      <c r="F30" s="12">
        <f>1961+7+3</f>
        <v>1971</v>
      </c>
      <c r="G30" s="12">
        <f t="shared" si="6"/>
        <v>2590</v>
      </c>
      <c r="H30" s="11">
        <f aca="true" t="shared" si="10" ref="H30:H37">SUM(B30,E30)</f>
        <v>793</v>
      </c>
      <c r="I30" s="12">
        <f t="shared" si="7"/>
        <v>2610</v>
      </c>
      <c r="J30" s="12">
        <f t="shared" si="8"/>
        <v>3403</v>
      </c>
    </row>
    <row r="31" spans="1:10" ht="12.75">
      <c r="A31" s="2" t="s">
        <v>32</v>
      </c>
      <c r="B31" s="11">
        <f>315</f>
        <v>315</v>
      </c>
      <c r="C31" s="12">
        <f>1340</f>
        <v>1340</v>
      </c>
      <c r="D31" s="12">
        <f t="shared" si="9"/>
        <v>1655</v>
      </c>
      <c r="E31" s="11">
        <f>363+1+1</f>
        <v>365</v>
      </c>
      <c r="F31" s="12">
        <f>1211+1+7</f>
        <v>1219</v>
      </c>
      <c r="G31" s="12">
        <f t="shared" si="6"/>
        <v>1584</v>
      </c>
      <c r="H31" s="11">
        <f t="shared" si="10"/>
        <v>680</v>
      </c>
      <c r="I31" s="12">
        <f t="shared" si="7"/>
        <v>2559</v>
      </c>
      <c r="J31" s="12">
        <f t="shared" si="8"/>
        <v>3239</v>
      </c>
    </row>
    <row r="32" spans="1:10" ht="12.75">
      <c r="A32" s="2" t="s">
        <v>33</v>
      </c>
      <c r="B32" s="13">
        <f>316+1</f>
        <v>317</v>
      </c>
      <c r="C32" s="12">
        <f>1532+2</f>
        <v>1534</v>
      </c>
      <c r="D32" s="12">
        <f t="shared" si="9"/>
        <v>1851</v>
      </c>
      <c r="E32" s="11">
        <f>185+1+2</f>
        <v>188</v>
      </c>
      <c r="F32" s="12">
        <f>934+2+9</f>
        <v>945</v>
      </c>
      <c r="G32" s="12">
        <f t="shared" si="6"/>
        <v>1133</v>
      </c>
      <c r="H32" s="11">
        <f t="shared" si="10"/>
        <v>505</v>
      </c>
      <c r="I32" s="12">
        <f t="shared" si="7"/>
        <v>2479</v>
      </c>
      <c r="J32" s="12">
        <f t="shared" si="8"/>
        <v>2984</v>
      </c>
    </row>
    <row r="33" spans="1:10" ht="12.75">
      <c r="A33" s="2" t="s">
        <v>34</v>
      </c>
      <c r="B33" s="13">
        <f>303+12</f>
        <v>315</v>
      </c>
      <c r="C33" s="12">
        <f>1985+8</f>
        <v>1993</v>
      </c>
      <c r="D33" s="12">
        <f t="shared" si="9"/>
        <v>2308</v>
      </c>
      <c r="E33" s="11">
        <f>118</f>
        <v>118</v>
      </c>
      <c r="F33" s="12">
        <f>821+15</f>
        <v>836</v>
      </c>
      <c r="G33" s="12">
        <f t="shared" si="6"/>
        <v>954</v>
      </c>
      <c r="H33" s="11">
        <f t="shared" si="10"/>
        <v>433</v>
      </c>
      <c r="I33" s="12">
        <f t="shared" si="7"/>
        <v>2829</v>
      </c>
      <c r="J33" s="12">
        <f t="shared" si="8"/>
        <v>3262</v>
      </c>
    </row>
    <row r="34" spans="1:10" ht="12.75">
      <c r="A34" s="2" t="s">
        <v>35</v>
      </c>
      <c r="B34" s="13">
        <f>489+31</f>
        <v>520</v>
      </c>
      <c r="C34" s="12">
        <f>2842+34</f>
        <v>2876</v>
      </c>
      <c r="D34" s="12">
        <f t="shared" si="9"/>
        <v>3396</v>
      </c>
      <c r="E34" s="11">
        <f>111+1</f>
        <v>112</v>
      </c>
      <c r="F34" s="12">
        <f>695+2+17</f>
        <v>714</v>
      </c>
      <c r="G34" s="12">
        <f t="shared" si="6"/>
        <v>826</v>
      </c>
      <c r="H34" s="11">
        <f t="shared" si="10"/>
        <v>632</v>
      </c>
      <c r="I34" s="12">
        <f t="shared" si="7"/>
        <v>3590</v>
      </c>
      <c r="J34" s="12">
        <f t="shared" si="8"/>
        <v>4222</v>
      </c>
    </row>
    <row r="35" spans="1:10" ht="12.75">
      <c r="A35" s="2" t="s">
        <v>36</v>
      </c>
      <c r="B35" s="13">
        <f>823+76</f>
        <v>899</v>
      </c>
      <c r="C35" s="12">
        <f>2893+46</f>
        <v>2939</v>
      </c>
      <c r="D35" s="12">
        <f t="shared" si="9"/>
        <v>3838</v>
      </c>
      <c r="E35" s="11">
        <f>82+2</f>
        <v>84</v>
      </c>
      <c r="F35" s="12">
        <f>352+10</f>
        <v>362</v>
      </c>
      <c r="G35" s="12">
        <f t="shared" si="6"/>
        <v>446</v>
      </c>
      <c r="H35" s="11">
        <f t="shared" si="10"/>
        <v>983</v>
      </c>
      <c r="I35" s="12">
        <f t="shared" si="7"/>
        <v>3301</v>
      </c>
      <c r="J35" s="12">
        <f t="shared" si="8"/>
        <v>4284</v>
      </c>
    </row>
    <row r="36" spans="1:10" ht="12.75">
      <c r="A36" s="2" t="s">
        <v>37</v>
      </c>
      <c r="B36" s="13">
        <f>813+73</f>
        <v>886</v>
      </c>
      <c r="C36" s="12">
        <f>2217+36</f>
        <v>2253</v>
      </c>
      <c r="D36" s="12">
        <f t="shared" si="9"/>
        <v>3139</v>
      </c>
      <c r="E36" s="11">
        <f>36</f>
        <v>36</v>
      </c>
      <c r="F36" s="12">
        <f>100+2+4</f>
        <v>106</v>
      </c>
      <c r="G36" s="12">
        <f t="shared" si="6"/>
        <v>142</v>
      </c>
      <c r="H36" s="11">
        <f t="shared" si="10"/>
        <v>922</v>
      </c>
      <c r="I36" s="12">
        <f t="shared" si="7"/>
        <v>2359</v>
      </c>
      <c r="J36" s="12">
        <f t="shared" si="8"/>
        <v>3281</v>
      </c>
    </row>
    <row r="37" spans="1:10" ht="12.75">
      <c r="A37" s="2" t="s">
        <v>38</v>
      </c>
      <c r="B37" s="13">
        <f>268+67</f>
        <v>335</v>
      </c>
      <c r="C37" s="12">
        <f>554+8</f>
        <v>562</v>
      </c>
      <c r="D37" s="75">
        <f t="shared" si="9"/>
        <v>897</v>
      </c>
      <c r="E37" s="11">
        <f>13</f>
        <v>13</v>
      </c>
      <c r="F37" s="12">
        <f>17+1</f>
        <v>18</v>
      </c>
      <c r="G37" s="75">
        <f t="shared" si="6"/>
        <v>31</v>
      </c>
      <c r="H37" s="11">
        <f t="shared" si="10"/>
        <v>348</v>
      </c>
      <c r="I37" s="12">
        <f t="shared" si="7"/>
        <v>580</v>
      </c>
      <c r="J37" s="75">
        <f t="shared" si="8"/>
        <v>928</v>
      </c>
    </row>
    <row r="38" spans="1:10" ht="12.75">
      <c r="A38" s="19" t="s">
        <v>4</v>
      </c>
      <c r="B38" s="76">
        <f aca="true" t="shared" si="11" ref="B38:J38">SUM(B29:B37)</f>
        <v>3762</v>
      </c>
      <c r="C38" s="77">
        <f t="shared" si="11"/>
        <v>14143</v>
      </c>
      <c r="D38" s="77">
        <f t="shared" si="11"/>
        <v>17905</v>
      </c>
      <c r="E38" s="76">
        <f t="shared" si="11"/>
        <v>1923</v>
      </c>
      <c r="F38" s="77">
        <f t="shared" si="11"/>
        <v>7094</v>
      </c>
      <c r="G38" s="77">
        <f t="shared" si="11"/>
        <v>9017</v>
      </c>
      <c r="H38" s="76">
        <f t="shared" si="11"/>
        <v>5685</v>
      </c>
      <c r="I38" s="77">
        <f t="shared" si="11"/>
        <v>21237</v>
      </c>
      <c r="J38" s="77">
        <f t="shared" si="11"/>
        <v>26922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C75" sqref="C75"/>
    </sheetView>
  </sheetViews>
  <sheetFormatPr defaultColWidth="9.140625" defaultRowHeight="12.75"/>
  <cols>
    <col min="1" max="1" width="34.8515625" style="4" customWidth="1"/>
    <col min="2" max="2" width="7.57421875" style="4" customWidth="1"/>
    <col min="3" max="3" width="10.8515625" style="4" customWidth="1"/>
    <col min="4" max="4" width="9.28125" style="4" customWidth="1"/>
    <col min="5" max="5" width="7.57421875" style="4" customWidth="1"/>
    <col min="6" max="6" width="9.00390625" style="4" customWidth="1"/>
    <col min="7" max="7" width="10.140625" style="4" customWidth="1"/>
    <col min="8" max="9" width="7.57421875" style="4" customWidth="1"/>
    <col min="10" max="10" width="9.421875" style="4" customWidth="1"/>
    <col min="11" max="12" width="7.57421875" style="4" customWidth="1"/>
    <col min="13" max="13" width="10.7109375" style="4" customWidth="1"/>
    <col min="14" max="14" width="9.421875" style="4" customWidth="1"/>
    <col min="15" max="15" width="9.28125" style="4" customWidth="1"/>
    <col min="16" max="16" width="10.140625" style="4" customWidth="1"/>
    <col min="17" max="17" width="7.57421875" style="4" customWidth="1"/>
    <col min="18" max="18" width="9.421875" style="4" customWidth="1"/>
    <col min="19" max="19" width="7.57421875" style="4" customWidth="1"/>
    <col min="20" max="16384" width="9.140625" style="4" customWidth="1"/>
  </cols>
  <sheetData>
    <row r="1" spans="1:19" ht="12.75">
      <c r="A1" s="139" t="s">
        <v>65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5" t="s">
        <v>59</v>
      </c>
      <c r="B2" s="6"/>
      <c r="C2" s="6"/>
      <c r="D2" s="5"/>
      <c r="E2" s="137"/>
      <c r="F2" s="6"/>
      <c r="G2" s="7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5"/>
      <c r="B3" s="6"/>
      <c r="C3" s="6"/>
      <c r="D3" s="6"/>
      <c r="E3" s="137"/>
      <c r="F3" s="5"/>
      <c r="G3" s="7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" t="s">
        <v>69</v>
      </c>
      <c r="B4" s="6"/>
      <c r="C4" s="6"/>
      <c r="D4" s="6"/>
      <c r="E4" s="137"/>
      <c r="F4" s="5"/>
      <c r="G4" s="7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3.5" thickBot="1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8"/>
      <c r="B6" s="165" t="s">
        <v>39</v>
      </c>
      <c r="C6" s="166"/>
      <c r="D6" s="166"/>
      <c r="E6" s="166"/>
      <c r="F6" s="166"/>
      <c r="G6" s="166"/>
      <c r="H6" s="165" t="s">
        <v>40</v>
      </c>
      <c r="I6" s="166"/>
      <c r="J6" s="166"/>
      <c r="K6" s="166"/>
      <c r="L6" s="166"/>
      <c r="M6" s="166"/>
      <c r="N6" s="165" t="s">
        <v>4</v>
      </c>
      <c r="O6" s="166"/>
      <c r="P6" s="166"/>
      <c r="Q6" s="166"/>
      <c r="R6" s="166"/>
      <c r="S6" s="166"/>
    </row>
    <row r="7" spans="1:19" ht="12.75">
      <c r="A7" s="3"/>
      <c r="B7" s="167" t="s">
        <v>27</v>
      </c>
      <c r="C7" s="168"/>
      <c r="D7" s="168"/>
      <c r="E7" s="167" t="s">
        <v>28</v>
      </c>
      <c r="F7" s="168"/>
      <c r="G7" s="168"/>
      <c r="H7" s="167" t="s">
        <v>27</v>
      </c>
      <c r="I7" s="168"/>
      <c r="J7" s="168"/>
      <c r="K7" s="167" t="s">
        <v>28</v>
      </c>
      <c r="L7" s="168"/>
      <c r="M7" s="168"/>
      <c r="N7" s="167" t="s">
        <v>27</v>
      </c>
      <c r="O7" s="168"/>
      <c r="P7" s="168"/>
      <c r="Q7" s="167" t="s">
        <v>28</v>
      </c>
      <c r="R7" s="168"/>
      <c r="S7" s="168"/>
    </row>
    <row r="8" spans="1:19" s="169" customFormat="1" ht="12.75">
      <c r="A8" s="70"/>
      <c r="B8" s="195" t="s">
        <v>5</v>
      </c>
      <c r="C8" s="196" t="s">
        <v>6</v>
      </c>
      <c r="D8" s="196" t="s">
        <v>4</v>
      </c>
      <c r="E8" s="195" t="s">
        <v>5</v>
      </c>
      <c r="F8" s="196" t="s">
        <v>6</v>
      </c>
      <c r="G8" s="196" t="s">
        <v>4</v>
      </c>
      <c r="H8" s="195" t="s">
        <v>5</v>
      </c>
      <c r="I8" s="196" t="s">
        <v>6</v>
      </c>
      <c r="J8" s="196" t="s">
        <v>4</v>
      </c>
      <c r="K8" s="195" t="s">
        <v>5</v>
      </c>
      <c r="L8" s="196" t="s">
        <v>6</v>
      </c>
      <c r="M8" s="196" t="s">
        <v>4</v>
      </c>
      <c r="N8" s="195" t="s">
        <v>5</v>
      </c>
      <c r="O8" s="196" t="s">
        <v>6</v>
      </c>
      <c r="P8" s="196" t="s">
        <v>4</v>
      </c>
      <c r="Q8" s="195" t="s">
        <v>5</v>
      </c>
      <c r="R8" s="196" t="s">
        <v>6</v>
      </c>
      <c r="S8" s="196" t="s">
        <v>4</v>
      </c>
    </row>
    <row r="9" spans="1:19" ht="12.75">
      <c r="A9" s="2"/>
      <c r="B9" s="11"/>
      <c r="C9" s="12"/>
      <c r="D9" s="12"/>
      <c r="E9" s="11"/>
      <c r="F9" s="12"/>
      <c r="G9" s="12"/>
      <c r="H9" s="11"/>
      <c r="I9" s="12"/>
      <c r="J9" s="12"/>
      <c r="K9" s="11"/>
      <c r="L9" s="12"/>
      <c r="M9" s="12"/>
      <c r="N9" s="11"/>
      <c r="O9" s="12"/>
      <c r="P9" s="12"/>
      <c r="Q9" s="11"/>
      <c r="R9" s="12"/>
      <c r="S9" s="12"/>
    </row>
    <row r="10" spans="1:19" ht="12.75">
      <c r="A10" s="1" t="s">
        <v>7</v>
      </c>
      <c r="B10" s="11"/>
      <c r="C10" s="12"/>
      <c r="D10" s="12"/>
      <c r="E10" s="11"/>
      <c r="F10" s="12"/>
      <c r="G10" s="12"/>
      <c r="H10" s="11"/>
      <c r="I10" s="12"/>
      <c r="J10" s="12"/>
      <c r="K10" s="11"/>
      <c r="L10" s="12"/>
      <c r="M10" s="12"/>
      <c r="N10" s="11"/>
      <c r="O10" s="12"/>
      <c r="P10" s="12"/>
      <c r="Q10" s="11"/>
      <c r="R10" s="12"/>
      <c r="S10" s="12"/>
    </row>
    <row r="11" spans="1:19" ht="12.75">
      <c r="A11" s="2" t="s">
        <v>48</v>
      </c>
      <c r="B11" s="11">
        <v>55</v>
      </c>
      <c r="C11" s="12">
        <v>88</v>
      </c>
      <c r="D11" s="12">
        <f>SUM(B11:C11)</f>
        <v>143</v>
      </c>
      <c r="E11" s="11">
        <v>25</v>
      </c>
      <c r="F11" s="12">
        <v>94</v>
      </c>
      <c r="G11" s="12">
        <f>SUM(E11:F11)</f>
        <v>119</v>
      </c>
      <c r="H11" s="11">
        <v>40</v>
      </c>
      <c r="I11" s="12">
        <v>427</v>
      </c>
      <c r="J11" s="12">
        <f>SUM(H11:I11)</f>
        <v>467</v>
      </c>
      <c r="K11" s="11">
        <v>67</v>
      </c>
      <c r="L11" s="12">
        <v>415</v>
      </c>
      <c r="M11" s="12">
        <f>SUM(K11:L11)</f>
        <v>482</v>
      </c>
      <c r="N11" s="11">
        <f>SUM(B11,H11)</f>
        <v>95</v>
      </c>
      <c r="O11" s="12">
        <f>SUM(C11,I11)</f>
        <v>515</v>
      </c>
      <c r="P11" s="12">
        <f>SUM(N11:O11)</f>
        <v>610</v>
      </c>
      <c r="Q11" s="11">
        <f aca="true" t="shared" si="0" ref="Q11:R14">SUM(E11,K11)</f>
        <v>92</v>
      </c>
      <c r="R11" s="12">
        <f t="shared" si="0"/>
        <v>509</v>
      </c>
      <c r="S11" s="12">
        <f>SUM(Q11:R11)</f>
        <v>601</v>
      </c>
    </row>
    <row r="12" spans="1:19" ht="12.75">
      <c r="A12" s="2" t="s">
        <v>8</v>
      </c>
      <c r="B12" s="11">
        <v>35</v>
      </c>
      <c r="C12" s="12">
        <v>243</v>
      </c>
      <c r="D12" s="12">
        <f>SUM(B12:C12)</f>
        <v>278</v>
      </c>
      <c r="E12" s="11">
        <v>28</v>
      </c>
      <c r="F12" s="12">
        <v>72</v>
      </c>
      <c r="G12" s="12">
        <f>SUM(E12:F12)</f>
        <v>100</v>
      </c>
      <c r="H12" s="11">
        <v>98</v>
      </c>
      <c r="I12" s="12">
        <v>1844</v>
      </c>
      <c r="J12" s="12">
        <f>SUM(H12:I12)</f>
        <v>1942</v>
      </c>
      <c r="K12" s="11">
        <v>131</v>
      </c>
      <c r="L12" s="12">
        <v>850</v>
      </c>
      <c r="M12" s="12">
        <f>SUM(K12:L12)</f>
        <v>981</v>
      </c>
      <c r="N12" s="11">
        <f aca="true" t="shared" si="1" ref="N12:O14">SUM(B12,H12)</f>
        <v>133</v>
      </c>
      <c r="O12" s="12">
        <f t="shared" si="1"/>
        <v>2087</v>
      </c>
      <c r="P12" s="12">
        <f>SUM(N12:O12)</f>
        <v>2220</v>
      </c>
      <c r="Q12" s="11">
        <f t="shared" si="0"/>
        <v>159</v>
      </c>
      <c r="R12" s="12">
        <f t="shared" si="0"/>
        <v>922</v>
      </c>
      <c r="S12" s="12">
        <f>SUM(Q12:R12)</f>
        <v>1081</v>
      </c>
    </row>
    <row r="13" spans="1:19" ht="12.75">
      <c r="A13" s="2" t="s">
        <v>9</v>
      </c>
      <c r="B13" s="11">
        <v>0</v>
      </c>
      <c r="C13" s="12">
        <v>1</v>
      </c>
      <c r="D13" s="12">
        <f>SUM(B13:C13)</f>
        <v>1</v>
      </c>
      <c r="E13" s="11">
        <v>0</v>
      </c>
      <c r="F13" s="12">
        <v>0</v>
      </c>
      <c r="G13" s="12">
        <f>SUM(E13:F13)</f>
        <v>0</v>
      </c>
      <c r="H13" s="11">
        <v>0</v>
      </c>
      <c r="I13" s="12">
        <v>0</v>
      </c>
      <c r="J13" s="12">
        <f>SUM(H13:I13)</f>
        <v>0</v>
      </c>
      <c r="K13" s="13">
        <v>0</v>
      </c>
      <c r="L13" s="12">
        <v>2</v>
      </c>
      <c r="M13" s="12">
        <f>SUM(K13:L13)</f>
        <v>2</v>
      </c>
      <c r="N13" s="11">
        <f t="shared" si="1"/>
        <v>0</v>
      </c>
      <c r="O13" s="12">
        <f t="shared" si="1"/>
        <v>1</v>
      </c>
      <c r="P13" s="12">
        <f>SUM(N13:O13)</f>
        <v>1</v>
      </c>
      <c r="Q13" s="11">
        <f t="shared" si="0"/>
        <v>0</v>
      </c>
      <c r="R13" s="12">
        <f t="shared" si="0"/>
        <v>2</v>
      </c>
      <c r="S13" s="12">
        <f>SUM(Q13:R13)</f>
        <v>2</v>
      </c>
    </row>
    <row r="14" spans="1:19" ht="12.75">
      <c r="A14" s="2" t="s">
        <v>10</v>
      </c>
      <c r="B14" s="11">
        <v>16</v>
      </c>
      <c r="C14" s="12">
        <v>102</v>
      </c>
      <c r="D14" s="12">
        <f>SUM(B14:C14)</f>
        <v>118</v>
      </c>
      <c r="E14" s="11">
        <v>11</v>
      </c>
      <c r="F14" s="12">
        <v>25</v>
      </c>
      <c r="G14" s="12">
        <f>SUM(E14:F14)</f>
        <v>36</v>
      </c>
      <c r="H14" s="11">
        <v>56</v>
      </c>
      <c r="I14" s="12">
        <v>666</v>
      </c>
      <c r="J14" s="12">
        <f>SUM(H14:I14)</f>
        <v>722</v>
      </c>
      <c r="K14" s="11">
        <v>57</v>
      </c>
      <c r="L14" s="12">
        <v>333</v>
      </c>
      <c r="M14" s="12">
        <f>SUM(K14:L14)</f>
        <v>390</v>
      </c>
      <c r="N14" s="11">
        <f t="shared" si="1"/>
        <v>72</v>
      </c>
      <c r="O14" s="12">
        <f t="shared" si="1"/>
        <v>768</v>
      </c>
      <c r="P14" s="12">
        <f>SUM(N14:O14)</f>
        <v>840</v>
      </c>
      <c r="Q14" s="11">
        <f t="shared" si="0"/>
        <v>68</v>
      </c>
      <c r="R14" s="12">
        <f t="shared" si="0"/>
        <v>358</v>
      </c>
      <c r="S14" s="12">
        <f>SUM(Q14:R14)</f>
        <v>426</v>
      </c>
    </row>
    <row r="15" spans="1:19" ht="12.75">
      <c r="A15" s="19" t="s">
        <v>4</v>
      </c>
      <c r="B15" s="76">
        <f>SUM(B11:B14)</f>
        <v>106</v>
      </c>
      <c r="C15" s="77">
        <f aca="true" t="shared" si="2" ref="C15:S15">SUM(C11:C14)</f>
        <v>434</v>
      </c>
      <c r="D15" s="77">
        <f t="shared" si="2"/>
        <v>540</v>
      </c>
      <c r="E15" s="76">
        <f t="shared" si="2"/>
        <v>64</v>
      </c>
      <c r="F15" s="77">
        <f t="shared" si="2"/>
        <v>191</v>
      </c>
      <c r="G15" s="77">
        <f t="shared" si="2"/>
        <v>255</v>
      </c>
      <c r="H15" s="76">
        <f t="shared" si="2"/>
        <v>194</v>
      </c>
      <c r="I15" s="77">
        <f t="shared" si="2"/>
        <v>2937</v>
      </c>
      <c r="J15" s="77">
        <f t="shared" si="2"/>
        <v>3131</v>
      </c>
      <c r="K15" s="76">
        <f t="shared" si="2"/>
        <v>255</v>
      </c>
      <c r="L15" s="77">
        <f t="shared" si="2"/>
        <v>1600</v>
      </c>
      <c r="M15" s="77">
        <f t="shared" si="2"/>
        <v>1855</v>
      </c>
      <c r="N15" s="76">
        <f t="shared" si="2"/>
        <v>300</v>
      </c>
      <c r="O15" s="77">
        <f t="shared" si="2"/>
        <v>3371</v>
      </c>
      <c r="P15" s="77">
        <f t="shared" si="2"/>
        <v>3671</v>
      </c>
      <c r="Q15" s="76">
        <f t="shared" si="2"/>
        <v>319</v>
      </c>
      <c r="R15" s="77">
        <f t="shared" si="2"/>
        <v>1791</v>
      </c>
      <c r="S15" s="77">
        <f t="shared" si="2"/>
        <v>2110</v>
      </c>
    </row>
    <row r="16" spans="1:19" ht="12.75">
      <c r="A16" s="3"/>
      <c r="B16" s="11"/>
      <c r="C16" s="12"/>
      <c r="D16" s="12"/>
      <c r="E16" s="11"/>
      <c r="F16" s="12"/>
      <c r="G16" s="12"/>
      <c r="H16" s="11"/>
      <c r="I16" s="12"/>
      <c r="J16" s="12"/>
      <c r="K16" s="11"/>
      <c r="L16" s="12"/>
      <c r="M16" s="12"/>
      <c r="N16" s="11"/>
      <c r="O16" s="12"/>
      <c r="P16" s="12"/>
      <c r="Q16" s="11"/>
      <c r="R16" s="12"/>
      <c r="S16" s="12"/>
    </row>
    <row r="17" spans="1:19" ht="12.75">
      <c r="A17" s="1" t="s">
        <v>11</v>
      </c>
      <c r="B17" s="11"/>
      <c r="C17" s="12"/>
      <c r="D17" s="12"/>
      <c r="E17" s="11"/>
      <c r="F17" s="12"/>
      <c r="G17" s="12"/>
      <c r="H17" s="11"/>
      <c r="I17" s="12"/>
      <c r="J17" s="12"/>
      <c r="K17" s="11"/>
      <c r="L17" s="12"/>
      <c r="M17" s="12"/>
      <c r="N17" s="11"/>
      <c r="O17" s="12"/>
      <c r="P17" s="12"/>
      <c r="Q17" s="11"/>
      <c r="R17" s="12"/>
      <c r="S17" s="12"/>
    </row>
    <row r="18" spans="1:19" ht="12.75">
      <c r="A18" s="2" t="s">
        <v>48</v>
      </c>
      <c r="B18" s="11">
        <v>40</v>
      </c>
      <c r="C18" s="12">
        <v>184</v>
      </c>
      <c r="D18" s="12">
        <f>SUM(B18:C18)</f>
        <v>224</v>
      </c>
      <c r="E18" s="11">
        <v>12</v>
      </c>
      <c r="F18" s="12">
        <v>145</v>
      </c>
      <c r="G18" s="12">
        <f>SUM(E18:F18)</f>
        <v>157</v>
      </c>
      <c r="H18" s="11">
        <v>10</v>
      </c>
      <c r="I18" s="12">
        <v>161</v>
      </c>
      <c r="J18" s="12">
        <f>SUM(H18:I18)</f>
        <v>171</v>
      </c>
      <c r="K18" s="11">
        <v>24</v>
      </c>
      <c r="L18" s="12">
        <v>181</v>
      </c>
      <c r="M18" s="12">
        <f>SUM(K18:L18)</f>
        <v>205</v>
      </c>
      <c r="N18" s="11">
        <f aca="true" t="shared" si="3" ref="N18:O21">SUM(B18,H18)</f>
        <v>50</v>
      </c>
      <c r="O18" s="12">
        <f t="shared" si="3"/>
        <v>345</v>
      </c>
      <c r="P18" s="12">
        <f>SUM(N18:O18)</f>
        <v>395</v>
      </c>
      <c r="Q18" s="11">
        <f aca="true" t="shared" si="4" ref="Q18:R21">SUM(E18,K18)</f>
        <v>36</v>
      </c>
      <c r="R18" s="12">
        <f t="shared" si="4"/>
        <v>326</v>
      </c>
      <c r="S18" s="12">
        <f>SUM(Q18:R18)</f>
        <v>362</v>
      </c>
    </row>
    <row r="19" spans="1:19" ht="12.75">
      <c r="A19" s="2" t="s">
        <v>8</v>
      </c>
      <c r="B19" s="11">
        <v>65</v>
      </c>
      <c r="C19" s="12">
        <v>349</v>
      </c>
      <c r="D19" s="12">
        <f>SUM(B19:C19)</f>
        <v>414</v>
      </c>
      <c r="E19" s="11">
        <v>6</v>
      </c>
      <c r="F19" s="12">
        <v>104</v>
      </c>
      <c r="G19" s="12">
        <f>SUM(E19:F19)</f>
        <v>110</v>
      </c>
      <c r="H19" s="11">
        <v>26</v>
      </c>
      <c r="I19" s="12">
        <v>544</v>
      </c>
      <c r="J19" s="12">
        <f>SUM(H19:I19)</f>
        <v>570</v>
      </c>
      <c r="K19" s="11">
        <v>16</v>
      </c>
      <c r="L19" s="12">
        <v>341</v>
      </c>
      <c r="M19" s="12">
        <f>SUM(K19:L19)</f>
        <v>357</v>
      </c>
      <c r="N19" s="11">
        <f t="shared" si="3"/>
        <v>91</v>
      </c>
      <c r="O19" s="12">
        <f t="shared" si="3"/>
        <v>893</v>
      </c>
      <c r="P19" s="12">
        <f>SUM(N19:O19)</f>
        <v>984</v>
      </c>
      <c r="Q19" s="11">
        <f t="shared" si="4"/>
        <v>22</v>
      </c>
      <c r="R19" s="12">
        <f t="shared" si="4"/>
        <v>445</v>
      </c>
      <c r="S19" s="12">
        <f>SUM(Q19:R19)</f>
        <v>467</v>
      </c>
    </row>
    <row r="20" spans="1:19" ht="12.75">
      <c r="A20" s="2" t="s">
        <v>9</v>
      </c>
      <c r="B20" s="11">
        <v>1</v>
      </c>
      <c r="C20" s="12">
        <v>11</v>
      </c>
      <c r="D20" s="12">
        <f>SUM(B20:C20)</f>
        <v>12</v>
      </c>
      <c r="E20" s="13">
        <v>0</v>
      </c>
      <c r="F20" s="18">
        <v>3</v>
      </c>
      <c r="G20" s="18">
        <f>SUM(E20:F20)</f>
        <v>3</v>
      </c>
      <c r="H20" s="13">
        <v>0</v>
      </c>
      <c r="I20" s="12">
        <v>9</v>
      </c>
      <c r="J20" s="12">
        <f>SUM(H20:I20)</f>
        <v>9</v>
      </c>
      <c r="K20" s="13">
        <v>1</v>
      </c>
      <c r="L20" s="18">
        <v>5</v>
      </c>
      <c r="M20" s="18">
        <f>SUM(K20:L20)</f>
        <v>6</v>
      </c>
      <c r="N20" s="11">
        <f t="shared" si="3"/>
        <v>1</v>
      </c>
      <c r="O20" s="12">
        <f t="shared" si="3"/>
        <v>20</v>
      </c>
      <c r="P20" s="12">
        <f>SUM(N20:O20)</f>
        <v>21</v>
      </c>
      <c r="Q20" s="13">
        <f t="shared" si="4"/>
        <v>1</v>
      </c>
      <c r="R20" s="12">
        <f t="shared" si="4"/>
        <v>8</v>
      </c>
      <c r="S20" s="12">
        <f>SUM(Q20:R20)</f>
        <v>9</v>
      </c>
    </row>
    <row r="21" spans="1:19" ht="12.75">
      <c r="A21" s="2" t="s">
        <v>10</v>
      </c>
      <c r="B21" s="11">
        <v>8</v>
      </c>
      <c r="C21" s="12">
        <v>92</v>
      </c>
      <c r="D21" s="12">
        <f>SUM(B21:C21)</f>
        <v>100</v>
      </c>
      <c r="E21" s="11">
        <v>3</v>
      </c>
      <c r="F21" s="12">
        <v>25</v>
      </c>
      <c r="G21" s="12">
        <f>SUM(E21:F21)</f>
        <v>28</v>
      </c>
      <c r="H21" s="11">
        <v>5</v>
      </c>
      <c r="I21" s="12">
        <v>99</v>
      </c>
      <c r="J21" s="12">
        <f>SUM(H21:I21)</f>
        <v>104</v>
      </c>
      <c r="K21" s="11">
        <v>7</v>
      </c>
      <c r="L21" s="12">
        <v>68</v>
      </c>
      <c r="M21" s="12">
        <f>SUM(K21:L21)</f>
        <v>75</v>
      </c>
      <c r="N21" s="11">
        <f t="shared" si="3"/>
        <v>13</v>
      </c>
      <c r="O21" s="12">
        <f t="shared" si="3"/>
        <v>191</v>
      </c>
      <c r="P21" s="12">
        <f>SUM(N21:O21)</f>
        <v>204</v>
      </c>
      <c r="Q21" s="11">
        <f t="shared" si="4"/>
        <v>10</v>
      </c>
      <c r="R21" s="12">
        <f t="shared" si="4"/>
        <v>93</v>
      </c>
      <c r="S21" s="12">
        <f>SUM(Q21:R21)</f>
        <v>103</v>
      </c>
    </row>
    <row r="22" spans="1:19" ht="12.75">
      <c r="A22" s="19" t="s">
        <v>4</v>
      </c>
      <c r="B22" s="76">
        <f aca="true" t="shared" si="5" ref="B22:S22">SUM(B18:B21)</f>
        <v>114</v>
      </c>
      <c r="C22" s="77">
        <f t="shared" si="5"/>
        <v>636</v>
      </c>
      <c r="D22" s="77">
        <f t="shared" si="5"/>
        <v>750</v>
      </c>
      <c r="E22" s="76">
        <f t="shared" si="5"/>
        <v>21</v>
      </c>
      <c r="F22" s="77">
        <f t="shared" si="5"/>
        <v>277</v>
      </c>
      <c r="G22" s="77">
        <f t="shared" si="5"/>
        <v>298</v>
      </c>
      <c r="H22" s="76">
        <f t="shared" si="5"/>
        <v>41</v>
      </c>
      <c r="I22" s="77">
        <f t="shared" si="5"/>
        <v>813</v>
      </c>
      <c r="J22" s="77">
        <f t="shared" si="5"/>
        <v>854</v>
      </c>
      <c r="K22" s="76">
        <f t="shared" si="5"/>
        <v>48</v>
      </c>
      <c r="L22" s="77">
        <f t="shared" si="5"/>
        <v>595</v>
      </c>
      <c r="M22" s="77">
        <f t="shared" si="5"/>
        <v>643</v>
      </c>
      <c r="N22" s="76">
        <f t="shared" si="5"/>
        <v>155</v>
      </c>
      <c r="O22" s="77">
        <f t="shared" si="5"/>
        <v>1449</v>
      </c>
      <c r="P22" s="77">
        <f t="shared" si="5"/>
        <v>1604</v>
      </c>
      <c r="Q22" s="76">
        <f t="shared" si="5"/>
        <v>69</v>
      </c>
      <c r="R22" s="77">
        <f t="shared" si="5"/>
        <v>872</v>
      </c>
      <c r="S22" s="77">
        <f t="shared" si="5"/>
        <v>941</v>
      </c>
    </row>
    <row r="23" spans="1:19" ht="12.75">
      <c r="A23" s="2"/>
      <c r="B23" s="11"/>
      <c r="C23" s="12"/>
      <c r="D23" s="12"/>
      <c r="E23" s="11"/>
      <c r="F23" s="12"/>
      <c r="G23" s="12"/>
      <c r="H23" s="11"/>
      <c r="I23" s="12"/>
      <c r="J23" s="12"/>
      <c r="K23" s="11"/>
      <c r="L23" s="12"/>
      <c r="M23" s="12"/>
      <c r="N23" s="11"/>
      <c r="O23" s="12"/>
      <c r="P23" s="12"/>
      <c r="Q23" s="11"/>
      <c r="R23" s="12"/>
      <c r="S23" s="12"/>
    </row>
    <row r="24" spans="1:19" ht="12.75">
      <c r="A24" s="1" t="s">
        <v>12</v>
      </c>
      <c r="B24" s="11"/>
      <c r="C24" s="12"/>
      <c r="D24" s="12"/>
      <c r="E24" s="11"/>
      <c r="F24" s="12"/>
      <c r="G24" s="12"/>
      <c r="H24" s="11"/>
      <c r="I24" s="12"/>
      <c r="J24" s="12"/>
      <c r="K24" s="11"/>
      <c r="L24" s="12"/>
      <c r="M24" s="12"/>
      <c r="N24" s="11"/>
      <c r="O24" s="12"/>
      <c r="P24" s="12"/>
      <c r="Q24" s="11"/>
      <c r="R24" s="12"/>
      <c r="S24" s="12"/>
    </row>
    <row r="25" spans="1:19" ht="12.75">
      <c r="A25" s="2" t="s">
        <v>48</v>
      </c>
      <c r="B25" s="11">
        <v>242</v>
      </c>
      <c r="C25" s="12">
        <v>613</v>
      </c>
      <c r="D25" s="12">
        <f>SUM(B25:C25)</f>
        <v>855</v>
      </c>
      <c r="E25" s="11">
        <v>147</v>
      </c>
      <c r="F25" s="12">
        <v>288</v>
      </c>
      <c r="G25" s="12">
        <f>SUM(E25:F25)</f>
        <v>435</v>
      </c>
      <c r="H25" s="11">
        <v>43</v>
      </c>
      <c r="I25" s="12">
        <v>437</v>
      </c>
      <c r="J25" s="12">
        <f>SUM(H25:I25)</f>
        <v>480</v>
      </c>
      <c r="K25" s="11">
        <v>80</v>
      </c>
      <c r="L25" s="12">
        <v>159</v>
      </c>
      <c r="M25" s="12">
        <f>SUM(K25:L25)</f>
        <v>239</v>
      </c>
      <c r="N25" s="11">
        <f aca="true" t="shared" si="6" ref="N25:O28">SUM(B25,H25)</f>
        <v>285</v>
      </c>
      <c r="O25" s="12">
        <f t="shared" si="6"/>
        <v>1050</v>
      </c>
      <c r="P25" s="12">
        <f>SUM(N25:O25)</f>
        <v>1335</v>
      </c>
      <c r="Q25" s="11">
        <f aca="true" t="shared" si="7" ref="Q25:R28">SUM(E25,K25)</f>
        <v>227</v>
      </c>
      <c r="R25" s="12">
        <f t="shared" si="7"/>
        <v>447</v>
      </c>
      <c r="S25" s="12">
        <f>SUM(Q25:R25)</f>
        <v>674</v>
      </c>
    </row>
    <row r="26" spans="1:19" ht="12.75">
      <c r="A26" s="2" t="s">
        <v>8</v>
      </c>
      <c r="B26" s="11">
        <v>985</v>
      </c>
      <c r="C26" s="12">
        <v>1636</v>
      </c>
      <c r="D26" s="12">
        <f>SUM(B26:C26)</f>
        <v>2621</v>
      </c>
      <c r="E26" s="11">
        <v>298</v>
      </c>
      <c r="F26" s="12">
        <v>479</v>
      </c>
      <c r="G26" s="12">
        <f>SUM(E26:F26)</f>
        <v>777</v>
      </c>
      <c r="H26" s="11">
        <v>153</v>
      </c>
      <c r="I26" s="12">
        <v>1144</v>
      </c>
      <c r="J26" s="12">
        <f>SUM(H26:I26)</f>
        <v>1297</v>
      </c>
      <c r="K26" s="11">
        <v>114</v>
      </c>
      <c r="L26" s="12">
        <v>400</v>
      </c>
      <c r="M26" s="12">
        <f>SUM(K26:L26)</f>
        <v>514</v>
      </c>
      <c r="N26" s="11">
        <f t="shared" si="6"/>
        <v>1138</v>
      </c>
      <c r="O26" s="12">
        <f t="shared" si="6"/>
        <v>2780</v>
      </c>
      <c r="P26" s="12">
        <f>SUM(N26:O26)</f>
        <v>3918</v>
      </c>
      <c r="Q26" s="11">
        <f t="shared" si="7"/>
        <v>412</v>
      </c>
      <c r="R26" s="12">
        <f t="shared" si="7"/>
        <v>879</v>
      </c>
      <c r="S26" s="12">
        <f>SUM(Q26:R26)</f>
        <v>1291</v>
      </c>
    </row>
    <row r="27" spans="1:19" ht="12.75">
      <c r="A27" s="2" t="s">
        <v>9</v>
      </c>
      <c r="B27" s="11">
        <v>46</v>
      </c>
      <c r="C27" s="12">
        <v>83</v>
      </c>
      <c r="D27" s="12">
        <f>SUM(B27:C27)</f>
        <v>129</v>
      </c>
      <c r="E27" s="11">
        <v>15</v>
      </c>
      <c r="F27" s="12">
        <v>34</v>
      </c>
      <c r="G27" s="12">
        <f>SUM(E27:F27)</f>
        <v>49</v>
      </c>
      <c r="H27" s="11">
        <v>5</v>
      </c>
      <c r="I27" s="12">
        <v>44</v>
      </c>
      <c r="J27" s="12">
        <f>SUM(H27:I27)</f>
        <v>49</v>
      </c>
      <c r="K27" s="11">
        <v>9</v>
      </c>
      <c r="L27" s="12">
        <v>28</v>
      </c>
      <c r="M27" s="12">
        <f>SUM(K27:L27)</f>
        <v>37</v>
      </c>
      <c r="N27" s="11">
        <f t="shared" si="6"/>
        <v>51</v>
      </c>
      <c r="O27" s="12">
        <f t="shared" si="6"/>
        <v>127</v>
      </c>
      <c r="P27" s="12">
        <f>SUM(N27:O27)</f>
        <v>178</v>
      </c>
      <c r="Q27" s="11">
        <f t="shared" si="7"/>
        <v>24</v>
      </c>
      <c r="R27" s="12">
        <f t="shared" si="7"/>
        <v>62</v>
      </c>
      <c r="S27" s="12">
        <f>SUM(Q27:R27)</f>
        <v>86</v>
      </c>
    </row>
    <row r="28" spans="1:19" ht="12.75">
      <c r="A28" s="2" t="s">
        <v>10</v>
      </c>
      <c r="B28" s="11">
        <v>61</v>
      </c>
      <c r="C28" s="12">
        <v>134</v>
      </c>
      <c r="D28" s="12">
        <f>SUM(B28:C28)</f>
        <v>195</v>
      </c>
      <c r="E28" s="11">
        <v>41</v>
      </c>
      <c r="F28" s="12">
        <v>57</v>
      </c>
      <c r="G28" s="12">
        <f>SUM(E28:F28)</f>
        <v>98</v>
      </c>
      <c r="H28" s="11">
        <v>15</v>
      </c>
      <c r="I28" s="12">
        <v>88</v>
      </c>
      <c r="J28" s="12">
        <f>SUM(H28:I28)</f>
        <v>103</v>
      </c>
      <c r="K28" s="11">
        <v>13</v>
      </c>
      <c r="L28" s="12">
        <v>47</v>
      </c>
      <c r="M28" s="12">
        <f>SUM(K28:L28)</f>
        <v>60</v>
      </c>
      <c r="N28" s="11">
        <f t="shared" si="6"/>
        <v>76</v>
      </c>
      <c r="O28" s="12">
        <f t="shared" si="6"/>
        <v>222</v>
      </c>
      <c r="P28" s="12">
        <f>SUM(N28:O28)</f>
        <v>298</v>
      </c>
      <c r="Q28" s="11">
        <f t="shared" si="7"/>
        <v>54</v>
      </c>
      <c r="R28" s="12">
        <f t="shared" si="7"/>
        <v>104</v>
      </c>
      <c r="S28" s="12">
        <f>SUM(Q28:R28)</f>
        <v>158</v>
      </c>
    </row>
    <row r="29" spans="1:19" ht="12.75">
      <c r="A29" s="19" t="s">
        <v>4</v>
      </c>
      <c r="B29" s="76">
        <f aca="true" t="shared" si="8" ref="B29:S29">SUM(B25:B28)</f>
        <v>1334</v>
      </c>
      <c r="C29" s="77">
        <f t="shared" si="8"/>
        <v>2466</v>
      </c>
      <c r="D29" s="77">
        <f t="shared" si="8"/>
        <v>3800</v>
      </c>
      <c r="E29" s="76">
        <f t="shared" si="8"/>
        <v>501</v>
      </c>
      <c r="F29" s="77">
        <f t="shared" si="8"/>
        <v>858</v>
      </c>
      <c r="G29" s="77">
        <f t="shared" si="8"/>
        <v>1359</v>
      </c>
      <c r="H29" s="76">
        <f t="shared" si="8"/>
        <v>216</v>
      </c>
      <c r="I29" s="77">
        <f t="shared" si="8"/>
        <v>1713</v>
      </c>
      <c r="J29" s="77">
        <f t="shared" si="8"/>
        <v>1929</v>
      </c>
      <c r="K29" s="76">
        <f t="shared" si="8"/>
        <v>216</v>
      </c>
      <c r="L29" s="77">
        <f t="shared" si="8"/>
        <v>634</v>
      </c>
      <c r="M29" s="77">
        <f t="shared" si="8"/>
        <v>850</v>
      </c>
      <c r="N29" s="76">
        <f t="shared" si="8"/>
        <v>1550</v>
      </c>
      <c r="O29" s="77">
        <f t="shared" si="8"/>
        <v>4179</v>
      </c>
      <c r="P29" s="77">
        <f t="shared" si="8"/>
        <v>5729</v>
      </c>
      <c r="Q29" s="76">
        <f t="shared" si="8"/>
        <v>717</v>
      </c>
      <c r="R29" s="77">
        <f t="shared" si="8"/>
        <v>1492</v>
      </c>
      <c r="S29" s="77">
        <f t="shared" si="8"/>
        <v>2209</v>
      </c>
    </row>
    <row r="30" spans="1:19" ht="12.75">
      <c r="A30" s="3"/>
      <c r="B30" s="11"/>
      <c r="C30" s="12"/>
      <c r="D30" s="12"/>
      <c r="E30" s="11"/>
      <c r="F30" s="12"/>
      <c r="G30" s="12"/>
      <c r="H30" s="11"/>
      <c r="I30" s="12"/>
      <c r="J30" s="12"/>
      <c r="K30" s="11"/>
      <c r="L30" s="12"/>
      <c r="M30" s="12"/>
      <c r="N30" s="11"/>
      <c r="O30" s="12"/>
      <c r="P30" s="12"/>
      <c r="Q30" s="11"/>
      <c r="R30" s="12"/>
      <c r="S30" s="12"/>
    </row>
    <row r="31" spans="1:19" ht="12.75">
      <c r="A31" s="1" t="s">
        <v>13</v>
      </c>
      <c r="B31" s="11"/>
      <c r="C31" s="12"/>
      <c r="D31" s="12"/>
      <c r="E31" s="11"/>
      <c r="F31" s="12"/>
      <c r="G31" s="12"/>
      <c r="H31" s="11"/>
      <c r="I31" s="12"/>
      <c r="J31" s="12"/>
      <c r="K31" s="11"/>
      <c r="L31" s="12"/>
      <c r="M31" s="12"/>
      <c r="N31" s="11"/>
      <c r="O31" s="12"/>
      <c r="P31" s="12"/>
      <c r="Q31" s="11"/>
      <c r="R31" s="12"/>
      <c r="S31" s="12"/>
    </row>
    <row r="32" spans="1:19" ht="12.75">
      <c r="A32" s="2" t="s">
        <v>48</v>
      </c>
      <c r="B32" s="11">
        <v>29</v>
      </c>
      <c r="C32" s="12">
        <v>110</v>
      </c>
      <c r="D32" s="12">
        <f>SUM(B32:C32)</f>
        <v>139</v>
      </c>
      <c r="E32" s="11">
        <v>13</v>
      </c>
      <c r="F32" s="12">
        <v>67</v>
      </c>
      <c r="G32" s="12">
        <f>SUM(E32:F32)</f>
        <v>80</v>
      </c>
      <c r="H32" s="11">
        <v>7</v>
      </c>
      <c r="I32" s="12">
        <v>74</v>
      </c>
      <c r="J32" s="12">
        <f>SUM(H32:I32)</f>
        <v>81</v>
      </c>
      <c r="K32" s="11">
        <v>6</v>
      </c>
      <c r="L32" s="12">
        <v>53</v>
      </c>
      <c r="M32" s="12">
        <f>SUM(K32:L32)</f>
        <v>59</v>
      </c>
      <c r="N32" s="11">
        <f aca="true" t="shared" si="9" ref="N32:O35">SUM(B32,H32)</f>
        <v>36</v>
      </c>
      <c r="O32" s="12">
        <f t="shared" si="9"/>
        <v>184</v>
      </c>
      <c r="P32" s="12">
        <f>SUM(N32:O32)</f>
        <v>220</v>
      </c>
      <c r="Q32" s="11">
        <f aca="true" t="shared" si="10" ref="Q32:R35">SUM(E32,K32)</f>
        <v>19</v>
      </c>
      <c r="R32" s="12">
        <f t="shared" si="10"/>
        <v>120</v>
      </c>
      <c r="S32" s="12">
        <f>SUM(Q32:R32)</f>
        <v>139</v>
      </c>
    </row>
    <row r="33" spans="1:19" ht="12.75">
      <c r="A33" s="2" t="s">
        <v>8</v>
      </c>
      <c r="B33" s="11">
        <v>83</v>
      </c>
      <c r="C33" s="12">
        <v>165</v>
      </c>
      <c r="D33" s="12">
        <f>SUM(B33:C33)</f>
        <v>248</v>
      </c>
      <c r="E33" s="11">
        <v>23</v>
      </c>
      <c r="F33" s="12">
        <v>112</v>
      </c>
      <c r="G33" s="12">
        <f>SUM(E33:F33)</f>
        <v>135</v>
      </c>
      <c r="H33" s="11">
        <v>17</v>
      </c>
      <c r="I33" s="12">
        <v>185</v>
      </c>
      <c r="J33" s="12">
        <f>SUM(H33:I33)</f>
        <v>202</v>
      </c>
      <c r="K33" s="11">
        <v>15</v>
      </c>
      <c r="L33" s="12">
        <v>125</v>
      </c>
      <c r="M33" s="12">
        <f>SUM(K33:L33)</f>
        <v>140</v>
      </c>
      <c r="N33" s="11">
        <f t="shared" si="9"/>
        <v>100</v>
      </c>
      <c r="O33" s="12">
        <f t="shared" si="9"/>
        <v>350</v>
      </c>
      <c r="P33" s="12">
        <f>SUM(N33:O33)</f>
        <v>450</v>
      </c>
      <c r="Q33" s="11">
        <f t="shared" si="10"/>
        <v>38</v>
      </c>
      <c r="R33" s="12">
        <f t="shared" si="10"/>
        <v>237</v>
      </c>
      <c r="S33" s="12">
        <f>SUM(Q33:R33)</f>
        <v>275</v>
      </c>
    </row>
    <row r="34" spans="1:19" ht="12.75">
      <c r="A34" s="2" t="s">
        <v>9</v>
      </c>
      <c r="B34" s="11">
        <v>1</v>
      </c>
      <c r="C34" s="12">
        <v>3</v>
      </c>
      <c r="D34" s="12">
        <f>SUM(B34:C34)</f>
        <v>4</v>
      </c>
      <c r="E34" s="11">
        <v>1</v>
      </c>
      <c r="F34" s="12">
        <v>3</v>
      </c>
      <c r="G34" s="12">
        <f>SUM(E34:F34)</f>
        <v>4</v>
      </c>
      <c r="H34" s="11">
        <v>1</v>
      </c>
      <c r="I34" s="12">
        <v>3</v>
      </c>
      <c r="J34" s="12">
        <f>SUM(H34:I34)</f>
        <v>4</v>
      </c>
      <c r="K34" s="13">
        <v>1</v>
      </c>
      <c r="L34" s="12">
        <v>3</v>
      </c>
      <c r="M34" s="12">
        <f>SUM(K34:L34)</f>
        <v>4</v>
      </c>
      <c r="N34" s="11">
        <f t="shared" si="9"/>
        <v>2</v>
      </c>
      <c r="O34" s="12">
        <f t="shared" si="9"/>
        <v>6</v>
      </c>
      <c r="P34" s="12">
        <f>SUM(N34:O34)</f>
        <v>8</v>
      </c>
      <c r="Q34" s="11">
        <f t="shared" si="10"/>
        <v>2</v>
      </c>
      <c r="R34" s="12">
        <f t="shared" si="10"/>
        <v>6</v>
      </c>
      <c r="S34" s="12">
        <f>SUM(Q34:R34)</f>
        <v>8</v>
      </c>
    </row>
    <row r="35" spans="1:19" ht="12.75">
      <c r="A35" s="2" t="s">
        <v>10</v>
      </c>
      <c r="B35" s="11">
        <v>14</v>
      </c>
      <c r="C35" s="12">
        <v>33</v>
      </c>
      <c r="D35" s="12">
        <f>SUM(B35:C35)</f>
        <v>47</v>
      </c>
      <c r="E35" s="11">
        <v>4</v>
      </c>
      <c r="F35" s="12">
        <v>18</v>
      </c>
      <c r="G35" s="12">
        <f>SUM(E35:F35)</f>
        <v>22</v>
      </c>
      <c r="H35" s="11">
        <v>2</v>
      </c>
      <c r="I35" s="12">
        <v>32</v>
      </c>
      <c r="J35" s="12">
        <f>SUM(H35:I35)</f>
        <v>34</v>
      </c>
      <c r="K35" s="11">
        <v>2</v>
      </c>
      <c r="L35" s="12">
        <v>26</v>
      </c>
      <c r="M35" s="12">
        <f>SUM(K35:L35)</f>
        <v>28</v>
      </c>
      <c r="N35" s="11">
        <f t="shared" si="9"/>
        <v>16</v>
      </c>
      <c r="O35" s="12">
        <f t="shared" si="9"/>
        <v>65</v>
      </c>
      <c r="P35" s="12">
        <f>SUM(N35:O35)</f>
        <v>81</v>
      </c>
      <c r="Q35" s="11">
        <f t="shared" si="10"/>
        <v>6</v>
      </c>
      <c r="R35" s="12">
        <f t="shared" si="10"/>
        <v>44</v>
      </c>
      <c r="S35" s="12">
        <f>SUM(Q35:R35)</f>
        <v>50</v>
      </c>
    </row>
    <row r="36" spans="1:19" ht="12.75">
      <c r="A36" s="19" t="s">
        <v>4</v>
      </c>
      <c r="B36" s="76">
        <f aca="true" t="shared" si="11" ref="B36:S36">SUM(B32:B35)</f>
        <v>127</v>
      </c>
      <c r="C36" s="77">
        <f t="shared" si="11"/>
        <v>311</v>
      </c>
      <c r="D36" s="77">
        <f t="shared" si="11"/>
        <v>438</v>
      </c>
      <c r="E36" s="76">
        <f t="shared" si="11"/>
        <v>41</v>
      </c>
      <c r="F36" s="77">
        <f t="shared" si="11"/>
        <v>200</v>
      </c>
      <c r="G36" s="77">
        <f t="shared" si="11"/>
        <v>241</v>
      </c>
      <c r="H36" s="76">
        <f t="shared" si="11"/>
        <v>27</v>
      </c>
      <c r="I36" s="77">
        <f t="shared" si="11"/>
        <v>294</v>
      </c>
      <c r="J36" s="77">
        <f t="shared" si="11"/>
        <v>321</v>
      </c>
      <c r="K36" s="76">
        <f t="shared" si="11"/>
        <v>24</v>
      </c>
      <c r="L36" s="77">
        <f t="shared" si="11"/>
        <v>207</v>
      </c>
      <c r="M36" s="77">
        <f t="shared" si="11"/>
        <v>231</v>
      </c>
      <c r="N36" s="76">
        <f t="shared" si="11"/>
        <v>154</v>
      </c>
      <c r="O36" s="77">
        <f t="shared" si="11"/>
        <v>605</v>
      </c>
      <c r="P36" s="77">
        <f t="shared" si="11"/>
        <v>759</v>
      </c>
      <c r="Q36" s="76">
        <f t="shared" si="11"/>
        <v>65</v>
      </c>
      <c r="R36" s="77">
        <f t="shared" si="11"/>
        <v>407</v>
      </c>
      <c r="S36" s="77">
        <f t="shared" si="11"/>
        <v>472</v>
      </c>
    </row>
    <row r="37" spans="1:19" ht="12.75">
      <c r="A37" s="2"/>
      <c r="B37" s="11"/>
      <c r="C37" s="12"/>
      <c r="D37" s="12"/>
      <c r="E37" s="11"/>
      <c r="F37" s="12"/>
      <c r="G37" s="12"/>
      <c r="H37" s="11"/>
      <c r="I37" s="12"/>
      <c r="J37" s="12"/>
      <c r="K37" s="11"/>
      <c r="L37" s="12"/>
      <c r="M37" s="12"/>
      <c r="N37" s="11"/>
      <c r="O37" s="12"/>
      <c r="P37" s="12"/>
      <c r="Q37" s="11"/>
      <c r="R37" s="12"/>
      <c r="S37" s="12"/>
    </row>
    <row r="38" spans="1:19" ht="12.75">
      <c r="A38" s="1" t="s">
        <v>14</v>
      </c>
      <c r="B38" s="11"/>
      <c r="C38" s="12"/>
      <c r="D38" s="12"/>
      <c r="E38" s="11"/>
      <c r="F38" s="12"/>
      <c r="G38" s="12"/>
      <c r="H38" s="11"/>
      <c r="I38" s="12"/>
      <c r="J38" s="12"/>
      <c r="K38" s="11"/>
      <c r="L38" s="12"/>
      <c r="M38" s="12"/>
      <c r="N38" s="11"/>
      <c r="O38" s="12"/>
      <c r="P38" s="12"/>
      <c r="Q38" s="11"/>
      <c r="R38" s="12"/>
      <c r="S38" s="12"/>
    </row>
    <row r="39" spans="1:19" ht="12.75">
      <c r="A39" s="19" t="s">
        <v>4</v>
      </c>
      <c r="B39" s="23">
        <v>405</v>
      </c>
      <c r="C39" s="24">
        <v>580</v>
      </c>
      <c r="D39" s="24">
        <f>SUM(B39:C39)</f>
        <v>985</v>
      </c>
      <c r="E39" s="23">
        <v>225</v>
      </c>
      <c r="F39" s="24">
        <v>313</v>
      </c>
      <c r="G39" s="24">
        <f>SUM(E39:F39)</f>
        <v>538</v>
      </c>
      <c r="H39" s="23">
        <v>66</v>
      </c>
      <c r="I39" s="24">
        <v>466</v>
      </c>
      <c r="J39" s="24">
        <f>SUM(H39:I39)</f>
        <v>532</v>
      </c>
      <c r="K39" s="23">
        <v>50</v>
      </c>
      <c r="L39" s="24">
        <v>212</v>
      </c>
      <c r="M39" s="24">
        <f>SUM(K39:L39)</f>
        <v>262</v>
      </c>
      <c r="N39" s="23">
        <f>SUM(B39,H39)</f>
        <v>471</v>
      </c>
      <c r="O39" s="24">
        <f>SUM(C39,I39)</f>
        <v>1046</v>
      </c>
      <c r="P39" s="24">
        <f>SUM(N39:O39)</f>
        <v>1517</v>
      </c>
      <c r="Q39" s="23">
        <f>SUM(E39,K39)</f>
        <v>275</v>
      </c>
      <c r="R39" s="24">
        <f>SUM(F39,L39)</f>
        <v>525</v>
      </c>
      <c r="S39" s="24">
        <f>SUM(Q39:R39)</f>
        <v>800</v>
      </c>
    </row>
    <row r="40" spans="1:19" ht="12.75">
      <c r="A40" s="2"/>
      <c r="B40" s="11"/>
      <c r="C40" s="12"/>
      <c r="D40" s="12"/>
      <c r="E40" s="11"/>
      <c r="F40" s="12"/>
      <c r="G40" s="12"/>
      <c r="H40" s="11"/>
      <c r="I40" s="12"/>
      <c r="J40" s="12"/>
      <c r="K40" s="11"/>
      <c r="L40" s="12"/>
      <c r="M40" s="12"/>
      <c r="N40" s="11"/>
      <c r="O40" s="12"/>
      <c r="P40" s="12"/>
      <c r="Q40" s="11"/>
      <c r="R40" s="12"/>
      <c r="S40" s="12"/>
    </row>
    <row r="41" spans="1:19" s="81" customFormat="1" ht="12.75">
      <c r="A41" s="78" t="s">
        <v>74</v>
      </c>
      <c r="B41" s="90"/>
      <c r="C41" s="91"/>
      <c r="D41" s="174"/>
      <c r="E41" s="90"/>
      <c r="F41" s="91"/>
      <c r="G41" s="91"/>
      <c r="H41" s="90"/>
      <c r="I41" s="91"/>
      <c r="J41" s="91"/>
      <c r="K41" s="90"/>
      <c r="L41" s="91"/>
      <c r="M41" s="91"/>
      <c r="N41" s="90"/>
      <c r="O41" s="91"/>
      <c r="P41" s="91"/>
      <c r="Q41" s="90"/>
      <c r="R41" s="91"/>
      <c r="S41" s="91"/>
    </row>
    <row r="42" spans="1:19" s="81" customFormat="1" ht="12.75">
      <c r="A42" s="93" t="s">
        <v>4</v>
      </c>
      <c r="B42" s="97">
        <v>0</v>
      </c>
      <c r="C42" s="98">
        <v>0</v>
      </c>
      <c r="D42" s="98">
        <f>SUM(B42,C42)</f>
        <v>0</v>
      </c>
      <c r="E42" s="97">
        <v>4</v>
      </c>
      <c r="F42" s="98">
        <f>12-1</f>
        <v>11</v>
      </c>
      <c r="G42" s="98">
        <f>SUM(E42:F42)</f>
        <v>15</v>
      </c>
      <c r="H42" s="97">
        <v>0</v>
      </c>
      <c r="I42" s="98">
        <v>0</v>
      </c>
      <c r="J42" s="98">
        <f>SUM(H42:I42)</f>
        <v>0</v>
      </c>
      <c r="K42" s="97">
        <v>2</v>
      </c>
      <c r="L42" s="98">
        <v>56</v>
      </c>
      <c r="M42" s="98">
        <f>SUM(K42:L42)</f>
        <v>58</v>
      </c>
      <c r="N42" s="97">
        <f>SUM(B42,H42)</f>
        <v>0</v>
      </c>
      <c r="O42" s="98">
        <f>SUM(C42,I42)</f>
        <v>0</v>
      </c>
      <c r="P42" s="98">
        <f>SUM(N42:O42)</f>
        <v>0</v>
      </c>
      <c r="Q42" s="97">
        <f>SUM(E42,K42)</f>
        <v>6</v>
      </c>
      <c r="R42" s="98">
        <f>SUM(F42,L42)</f>
        <v>67</v>
      </c>
      <c r="S42" s="98">
        <f>SUM(Q42:R42)</f>
        <v>73</v>
      </c>
    </row>
    <row r="43" spans="1:19" ht="12.75">
      <c r="A43" s="2"/>
      <c r="B43" s="11"/>
      <c r="C43" s="12"/>
      <c r="D43" s="12"/>
      <c r="E43" s="11"/>
      <c r="F43" s="12"/>
      <c r="G43" s="12"/>
      <c r="H43" s="11"/>
      <c r="I43" s="12"/>
      <c r="J43" s="12"/>
      <c r="K43" s="11"/>
      <c r="L43" s="12"/>
      <c r="M43" s="12"/>
      <c r="N43" s="11"/>
      <c r="O43" s="12"/>
      <c r="P43" s="12"/>
      <c r="Q43" s="11"/>
      <c r="R43" s="12"/>
      <c r="S43" s="12"/>
    </row>
    <row r="44" spans="1:19" ht="12.75">
      <c r="A44" s="1" t="s">
        <v>62</v>
      </c>
      <c r="B44" s="11"/>
      <c r="C44" s="12"/>
      <c r="D44" s="12"/>
      <c r="E44" s="11"/>
      <c r="F44" s="12"/>
      <c r="G44" s="12"/>
      <c r="H44" s="11"/>
      <c r="I44" s="12"/>
      <c r="J44" s="12"/>
      <c r="K44" s="11"/>
      <c r="L44" s="12"/>
      <c r="M44" s="12"/>
      <c r="N44" s="11"/>
      <c r="O44" s="12"/>
      <c r="P44" s="12"/>
      <c r="Q44" s="11"/>
      <c r="R44" s="12"/>
      <c r="S44" s="12"/>
    </row>
    <row r="45" spans="1:19" ht="12.75">
      <c r="A45" s="2" t="s">
        <v>48</v>
      </c>
      <c r="B45" s="11">
        <v>11</v>
      </c>
      <c r="C45" s="18">
        <v>52</v>
      </c>
      <c r="D45" s="12">
        <f>SUM(B45:C45)</f>
        <v>63</v>
      </c>
      <c r="E45" s="11">
        <v>11</v>
      </c>
      <c r="F45" s="12">
        <v>42</v>
      </c>
      <c r="G45" s="12">
        <f>SUM(E45:F45)</f>
        <v>53</v>
      </c>
      <c r="H45" s="11">
        <v>3</v>
      </c>
      <c r="I45" s="12">
        <v>27</v>
      </c>
      <c r="J45" s="12">
        <f>SUM(H45:I45)</f>
        <v>30</v>
      </c>
      <c r="K45" s="11">
        <v>17</v>
      </c>
      <c r="L45" s="12">
        <v>43</v>
      </c>
      <c r="M45" s="12">
        <f>SUM(K45:L45)</f>
        <v>60</v>
      </c>
      <c r="N45" s="11">
        <f aca="true" t="shared" si="12" ref="N45:O48">SUM(B45,H45)</f>
        <v>14</v>
      </c>
      <c r="O45" s="12">
        <f t="shared" si="12"/>
        <v>79</v>
      </c>
      <c r="P45" s="12">
        <f>SUM(N45:O45)</f>
        <v>93</v>
      </c>
      <c r="Q45" s="11">
        <f aca="true" t="shared" si="13" ref="Q45:R48">SUM(E45,K45)</f>
        <v>28</v>
      </c>
      <c r="R45" s="12">
        <f t="shared" si="13"/>
        <v>85</v>
      </c>
      <c r="S45" s="12">
        <f>SUM(Q45:R45)</f>
        <v>113</v>
      </c>
    </row>
    <row r="46" spans="1:19" ht="12.75">
      <c r="A46" s="2" t="s">
        <v>8</v>
      </c>
      <c r="B46" s="11">
        <v>15</v>
      </c>
      <c r="C46" s="12">
        <v>57</v>
      </c>
      <c r="D46" s="12">
        <f>SUM(B46:C46)</f>
        <v>72</v>
      </c>
      <c r="E46" s="11">
        <v>19</v>
      </c>
      <c r="F46" s="12">
        <v>43</v>
      </c>
      <c r="G46" s="12">
        <f>SUM(E46:F46)</f>
        <v>62</v>
      </c>
      <c r="H46" s="11">
        <v>1</v>
      </c>
      <c r="I46" s="12">
        <v>48</v>
      </c>
      <c r="J46" s="12">
        <f>SUM(H46:I46)</f>
        <v>49</v>
      </c>
      <c r="K46" s="11">
        <v>12</v>
      </c>
      <c r="L46" s="12">
        <v>37</v>
      </c>
      <c r="M46" s="12">
        <f>SUM(K46:L46)</f>
        <v>49</v>
      </c>
      <c r="N46" s="11">
        <f t="shared" si="12"/>
        <v>16</v>
      </c>
      <c r="O46" s="12">
        <f t="shared" si="12"/>
        <v>105</v>
      </c>
      <c r="P46" s="12">
        <f>SUM(N46:O46)</f>
        <v>121</v>
      </c>
      <c r="Q46" s="11">
        <f t="shared" si="13"/>
        <v>31</v>
      </c>
      <c r="R46" s="12">
        <f t="shared" si="13"/>
        <v>80</v>
      </c>
      <c r="S46" s="12">
        <f>SUM(Q46:R46)</f>
        <v>111</v>
      </c>
    </row>
    <row r="47" spans="1:19" ht="12.75">
      <c r="A47" s="2" t="s">
        <v>9</v>
      </c>
      <c r="B47" s="11">
        <v>7</v>
      </c>
      <c r="C47" s="12">
        <v>18</v>
      </c>
      <c r="D47" s="12">
        <f>SUM(B47:C47)</f>
        <v>25</v>
      </c>
      <c r="E47" s="13">
        <v>7</v>
      </c>
      <c r="F47" s="12">
        <v>9</v>
      </c>
      <c r="G47" s="12">
        <f>SUM(E47:F47)</f>
        <v>16</v>
      </c>
      <c r="H47" s="11">
        <v>1</v>
      </c>
      <c r="I47" s="12">
        <v>18</v>
      </c>
      <c r="J47" s="12">
        <f>SUM(H47:I47)</f>
        <v>19</v>
      </c>
      <c r="K47" s="11">
        <v>2</v>
      </c>
      <c r="L47" s="12">
        <v>8</v>
      </c>
      <c r="M47" s="12">
        <f>SUM(K47:L47)</f>
        <v>10</v>
      </c>
      <c r="N47" s="11">
        <f t="shared" si="12"/>
        <v>8</v>
      </c>
      <c r="O47" s="12">
        <f t="shared" si="12"/>
        <v>36</v>
      </c>
      <c r="P47" s="12">
        <f>SUM(N47:O47)</f>
        <v>44</v>
      </c>
      <c r="Q47" s="11">
        <f t="shared" si="13"/>
        <v>9</v>
      </c>
      <c r="R47" s="12">
        <f t="shared" si="13"/>
        <v>17</v>
      </c>
      <c r="S47" s="12">
        <f>SUM(Q47:R47)</f>
        <v>26</v>
      </c>
    </row>
    <row r="48" spans="1:19" ht="12.75">
      <c r="A48" s="2" t="s">
        <v>10</v>
      </c>
      <c r="B48" s="11">
        <v>5</v>
      </c>
      <c r="C48" s="12">
        <v>14</v>
      </c>
      <c r="D48" s="12">
        <f>SUM(B48:C48)</f>
        <v>19</v>
      </c>
      <c r="E48" s="11">
        <v>3</v>
      </c>
      <c r="F48" s="12">
        <v>17</v>
      </c>
      <c r="G48" s="12">
        <f>SUM(E48:F48)</f>
        <v>20</v>
      </c>
      <c r="H48" s="11">
        <v>1</v>
      </c>
      <c r="I48" s="12">
        <v>20</v>
      </c>
      <c r="J48" s="12">
        <f>SUM(H48:I48)</f>
        <v>21</v>
      </c>
      <c r="K48" s="11">
        <v>1</v>
      </c>
      <c r="L48" s="12">
        <v>10</v>
      </c>
      <c r="M48" s="12">
        <f>SUM(K48:L48)</f>
        <v>11</v>
      </c>
      <c r="N48" s="11">
        <f t="shared" si="12"/>
        <v>6</v>
      </c>
      <c r="O48" s="12">
        <f t="shared" si="12"/>
        <v>34</v>
      </c>
      <c r="P48" s="12">
        <f>SUM(N48:O48)</f>
        <v>40</v>
      </c>
      <c r="Q48" s="11">
        <f t="shared" si="13"/>
        <v>4</v>
      </c>
      <c r="R48" s="12">
        <f t="shared" si="13"/>
        <v>27</v>
      </c>
      <c r="S48" s="12">
        <f>SUM(Q48:R48)</f>
        <v>31</v>
      </c>
    </row>
    <row r="49" spans="1:19" ht="12.75">
      <c r="A49" s="19" t="s">
        <v>4</v>
      </c>
      <c r="B49" s="76">
        <f aca="true" t="shared" si="14" ref="B49:S49">SUM(B45:B48)</f>
        <v>38</v>
      </c>
      <c r="C49" s="77">
        <f t="shared" si="14"/>
        <v>141</v>
      </c>
      <c r="D49" s="77">
        <f t="shared" si="14"/>
        <v>179</v>
      </c>
      <c r="E49" s="76">
        <f t="shared" si="14"/>
        <v>40</v>
      </c>
      <c r="F49" s="77">
        <f t="shared" si="14"/>
        <v>111</v>
      </c>
      <c r="G49" s="77">
        <f t="shared" si="14"/>
        <v>151</v>
      </c>
      <c r="H49" s="76">
        <f t="shared" si="14"/>
        <v>6</v>
      </c>
      <c r="I49" s="77">
        <f t="shared" si="14"/>
        <v>113</v>
      </c>
      <c r="J49" s="77">
        <f t="shared" si="14"/>
        <v>119</v>
      </c>
      <c r="K49" s="76">
        <f t="shared" si="14"/>
        <v>32</v>
      </c>
      <c r="L49" s="77">
        <f t="shared" si="14"/>
        <v>98</v>
      </c>
      <c r="M49" s="77">
        <f t="shared" si="14"/>
        <v>130</v>
      </c>
      <c r="N49" s="76">
        <f t="shared" si="14"/>
        <v>44</v>
      </c>
      <c r="O49" s="77">
        <f t="shared" si="14"/>
        <v>254</v>
      </c>
      <c r="P49" s="77">
        <f t="shared" si="14"/>
        <v>298</v>
      </c>
      <c r="Q49" s="76">
        <f t="shared" si="14"/>
        <v>72</v>
      </c>
      <c r="R49" s="77">
        <f t="shared" si="14"/>
        <v>209</v>
      </c>
      <c r="S49" s="77">
        <f t="shared" si="14"/>
        <v>281</v>
      </c>
    </row>
    <row r="50" spans="1:19" ht="12.75">
      <c r="A50" s="2"/>
      <c r="B50" s="11"/>
      <c r="C50" s="12"/>
      <c r="D50" s="12"/>
      <c r="E50" s="11"/>
      <c r="F50" s="12"/>
      <c r="G50" s="12"/>
      <c r="H50" s="11"/>
      <c r="I50" s="12"/>
      <c r="J50" s="12"/>
      <c r="K50" s="11"/>
      <c r="L50" s="12"/>
      <c r="M50" s="12"/>
      <c r="N50" s="11"/>
      <c r="O50" s="12"/>
      <c r="P50" s="12"/>
      <c r="Q50" s="11"/>
      <c r="R50" s="12"/>
      <c r="S50" s="12"/>
    </row>
    <row r="51" spans="1:19" ht="12.75">
      <c r="A51" s="1" t="s">
        <v>63</v>
      </c>
      <c r="B51" s="11"/>
      <c r="C51" s="12"/>
      <c r="D51" s="12"/>
      <c r="E51" s="11"/>
      <c r="F51" s="12"/>
      <c r="G51" s="12"/>
      <c r="H51" s="11"/>
      <c r="I51" s="12"/>
      <c r="J51" s="12"/>
      <c r="K51" s="11"/>
      <c r="L51" s="12"/>
      <c r="M51" s="12"/>
      <c r="N51" s="11"/>
      <c r="O51" s="12"/>
      <c r="P51" s="12"/>
      <c r="Q51" s="11"/>
      <c r="R51" s="12"/>
      <c r="S51" s="12"/>
    </row>
    <row r="52" spans="1:19" ht="12.75">
      <c r="A52" s="2" t="s">
        <v>48</v>
      </c>
      <c r="B52" s="13">
        <v>1</v>
      </c>
      <c r="C52" s="18">
        <v>3</v>
      </c>
      <c r="D52" s="18">
        <f>SUM(B52:C52)</f>
        <v>4</v>
      </c>
      <c r="E52" s="11">
        <v>1</v>
      </c>
      <c r="F52" s="18">
        <v>2</v>
      </c>
      <c r="G52" s="12">
        <f>SUM(E52:F52)</f>
        <v>3</v>
      </c>
      <c r="H52" s="11">
        <v>0</v>
      </c>
      <c r="I52" s="12">
        <v>4</v>
      </c>
      <c r="J52" s="12">
        <f>SUM(H52:I52)</f>
        <v>4</v>
      </c>
      <c r="K52" s="11">
        <v>2</v>
      </c>
      <c r="L52" s="12">
        <v>2</v>
      </c>
      <c r="M52" s="12">
        <f>SUM(K52:L52)</f>
        <v>4</v>
      </c>
      <c r="N52" s="11">
        <f aca="true" t="shared" si="15" ref="N52:O55">SUM(B52,H52)</f>
        <v>1</v>
      </c>
      <c r="O52" s="12">
        <f t="shared" si="15"/>
        <v>7</v>
      </c>
      <c r="P52" s="12">
        <f>SUM(N52:O52)</f>
        <v>8</v>
      </c>
      <c r="Q52" s="11">
        <f aca="true" t="shared" si="16" ref="Q52:R55">SUM(E52,K52)</f>
        <v>3</v>
      </c>
      <c r="R52" s="12">
        <f t="shared" si="16"/>
        <v>4</v>
      </c>
      <c r="S52" s="12">
        <f>SUM(Q52:R52)</f>
        <v>7</v>
      </c>
    </row>
    <row r="53" spans="1:19" ht="12.75">
      <c r="A53" s="2" t="s">
        <v>8</v>
      </c>
      <c r="B53" s="11">
        <v>2</v>
      </c>
      <c r="C53" s="12">
        <v>6</v>
      </c>
      <c r="D53" s="12">
        <f>SUM(B53:C53)</f>
        <v>8</v>
      </c>
      <c r="E53" s="11">
        <v>1</v>
      </c>
      <c r="F53" s="12">
        <v>1</v>
      </c>
      <c r="G53" s="12">
        <f>SUM(E53:F53)</f>
        <v>2</v>
      </c>
      <c r="H53" s="11">
        <v>0</v>
      </c>
      <c r="I53" s="12">
        <v>2</v>
      </c>
      <c r="J53" s="12">
        <f>SUM(H53:I53)</f>
        <v>2</v>
      </c>
      <c r="K53" s="11">
        <v>0</v>
      </c>
      <c r="L53" s="12">
        <v>6</v>
      </c>
      <c r="M53" s="12">
        <f>SUM(K53:L53)</f>
        <v>6</v>
      </c>
      <c r="N53" s="11">
        <f t="shared" si="15"/>
        <v>2</v>
      </c>
      <c r="O53" s="12">
        <f t="shared" si="15"/>
        <v>8</v>
      </c>
      <c r="P53" s="12">
        <f>SUM(N53:O53)</f>
        <v>10</v>
      </c>
      <c r="Q53" s="11">
        <f t="shared" si="16"/>
        <v>1</v>
      </c>
      <c r="R53" s="12">
        <f t="shared" si="16"/>
        <v>7</v>
      </c>
      <c r="S53" s="12">
        <f>SUM(Q53:R53)</f>
        <v>8</v>
      </c>
    </row>
    <row r="54" spans="1:19" ht="12.75">
      <c r="A54" s="2" t="s">
        <v>9</v>
      </c>
      <c r="B54" s="11">
        <v>0</v>
      </c>
      <c r="C54" s="18">
        <v>1</v>
      </c>
      <c r="D54" s="12">
        <f>SUM(B54:C54)</f>
        <v>1</v>
      </c>
      <c r="E54" s="11">
        <v>1</v>
      </c>
      <c r="F54" s="18">
        <v>0</v>
      </c>
      <c r="G54" s="12">
        <f>SUM(E54:F54)</f>
        <v>1</v>
      </c>
      <c r="H54" s="11">
        <v>0</v>
      </c>
      <c r="I54" s="12">
        <v>1</v>
      </c>
      <c r="J54" s="12">
        <f>SUM(H54:I54)</f>
        <v>1</v>
      </c>
      <c r="K54" s="11">
        <v>1</v>
      </c>
      <c r="L54" s="12">
        <v>3</v>
      </c>
      <c r="M54" s="12">
        <f>SUM(K54:L54)</f>
        <v>4</v>
      </c>
      <c r="N54" s="11">
        <f t="shared" si="15"/>
        <v>0</v>
      </c>
      <c r="O54" s="12">
        <f t="shared" si="15"/>
        <v>2</v>
      </c>
      <c r="P54" s="12">
        <f>SUM(N54:O54)</f>
        <v>2</v>
      </c>
      <c r="Q54" s="11">
        <f t="shared" si="16"/>
        <v>2</v>
      </c>
      <c r="R54" s="12">
        <f t="shared" si="16"/>
        <v>3</v>
      </c>
      <c r="S54" s="12">
        <f>SUM(Q54:R54)</f>
        <v>5</v>
      </c>
    </row>
    <row r="55" spans="1:19" ht="12.75">
      <c r="A55" s="2" t="s">
        <v>10</v>
      </c>
      <c r="B55" s="11">
        <v>1</v>
      </c>
      <c r="C55" s="12">
        <v>1</v>
      </c>
      <c r="D55" s="12">
        <f>SUM(B55:C55)</f>
        <v>2</v>
      </c>
      <c r="E55" s="11">
        <v>0</v>
      </c>
      <c r="F55" s="18">
        <v>2</v>
      </c>
      <c r="G55" s="12">
        <f>SUM(E55:F55)</f>
        <v>2</v>
      </c>
      <c r="H55" s="11">
        <v>0</v>
      </c>
      <c r="I55" s="12">
        <v>1</v>
      </c>
      <c r="J55" s="12">
        <f>SUM(H55:I55)</f>
        <v>1</v>
      </c>
      <c r="K55" s="11">
        <v>0</v>
      </c>
      <c r="L55" s="12">
        <v>2</v>
      </c>
      <c r="M55" s="12">
        <f>SUM(K55:L55)</f>
        <v>2</v>
      </c>
      <c r="N55" s="11">
        <f t="shared" si="15"/>
        <v>1</v>
      </c>
      <c r="O55" s="12">
        <f t="shared" si="15"/>
        <v>2</v>
      </c>
      <c r="P55" s="12">
        <f>SUM(N55:O55)</f>
        <v>3</v>
      </c>
      <c r="Q55" s="11">
        <f t="shared" si="16"/>
        <v>0</v>
      </c>
      <c r="R55" s="12">
        <f t="shared" si="16"/>
        <v>4</v>
      </c>
      <c r="S55" s="12">
        <f>SUM(Q55:R55)</f>
        <v>4</v>
      </c>
    </row>
    <row r="56" spans="1:19" ht="12.75">
      <c r="A56" s="19" t="s">
        <v>4</v>
      </c>
      <c r="B56" s="76">
        <f aca="true" t="shared" si="17" ref="B56:S56">SUM(B52:B55)</f>
        <v>4</v>
      </c>
      <c r="C56" s="77">
        <f t="shared" si="17"/>
        <v>11</v>
      </c>
      <c r="D56" s="77">
        <f t="shared" si="17"/>
        <v>15</v>
      </c>
      <c r="E56" s="76">
        <f t="shared" si="17"/>
        <v>3</v>
      </c>
      <c r="F56" s="77">
        <f t="shared" si="17"/>
        <v>5</v>
      </c>
      <c r="G56" s="77">
        <f t="shared" si="17"/>
        <v>8</v>
      </c>
      <c r="H56" s="76">
        <f t="shared" si="17"/>
        <v>0</v>
      </c>
      <c r="I56" s="77">
        <f t="shared" si="17"/>
        <v>8</v>
      </c>
      <c r="J56" s="77">
        <f t="shared" si="17"/>
        <v>8</v>
      </c>
      <c r="K56" s="76">
        <f t="shared" si="17"/>
        <v>3</v>
      </c>
      <c r="L56" s="77">
        <f t="shared" si="17"/>
        <v>13</v>
      </c>
      <c r="M56" s="77">
        <f t="shared" si="17"/>
        <v>16</v>
      </c>
      <c r="N56" s="76">
        <f t="shared" si="17"/>
        <v>4</v>
      </c>
      <c r="O56" s="77">
        <f t="shared" si="17"/>
        <v>19</v>
      </c>
      <c r="P56" s="77">
        <f t="shared" si="17"/>
        <v>23</v>
      </c>
      <c r="Q56" s="76">
        <f t="shared" si="17"/>
        <v>6</v>
      </c>
      <c r="R56" s="77">
        <f t="shared" si="17"/>
        <v>18</v>
      </c>
      <c r="S56" s="77">
        <f t="shared" si="17"/>
        <v>24</v>
      </c>
    </row>
    <row r="57" spans="1:19" ht="12.75">
      <c r="A57" s="2"/>
      <c r="B57" s="11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1"/>
      <c r="O57" s="12"/>
      <c r="P57" s="12"/>
      <c r="Q57" s="11"/>
      <c r="R57" s="12"/>
      <c r="S57" s="12"/>
    </row>
    <row r="58" spans="1:19" ht="12.75">
      <c r="A58" s="1" t="s">
        <v>15</v>
      </c>
      <c r="B58" s="11"/>
      <c r="C58" s="12"/>
      <c r="D58" s="12"/>
      <c r="E58" s="11"/>
      <c r="F58" s="12"/>
      <c r="G58" s="12"/>
      <c r="H58" s="11"/>
      <c r="I58" s="12"/>
      <c r="J58" s="12"/>
      <c r="K58" s="11"/>
      <c r="L58" s="12"/>
      <c r="M58" s="12"/>
      <c r="N58" s="11"/>
      <c r="O58" s="12"/>
      <c r="P58" s="12"/>
      <c r="Q58" s="11"/>
      <c r="R58" s="12"/>
      <c r="S58" s="12"/>
    </row>
    <row r="59" spans="1:19" ht="12.75">
      <c r="A59" s="2" t="s">
        <v>48</v>
      </c>
      <c r="B59" s="11">
        <v>1</v>
      </c>
      <c r="C59" s="18">
        <v>2</v>
      </c>
      <c r="D59" s="12">
        <f>SUM(B59:C59)</f>
        <v>3</v>
      </c>
      <c r="E59" s="11">
        <v>1</v>
      </c>
      <c r="F59" s="12">
        <v>1</v>
      </c>
      <c r="G59" s="12">
        <f>SUM(E59:F59)</f>
        <v>2</v>
      </c>
      <c r="H59" s="11">
        <v>7</v>
      </c>
      <c r="I59" s="12">
        <v>14</v>
      </c>
      <c r="J59" s="12">
        <f>SUM(H59:I59)</f>
        <v>21</v>
      </c>
      <c r="K59" s="11">
        <v>2</v>
      </c>
      <c r="L59" s="12">
        <v>10</v>
      </c>
      <c r="M59" s="12">
        <f>SUM(K59:L59)</f>
        <v>12</v>
      </c>
      <c r="N59" s="11">
        <f aca="true" t="shared" si="18" ref="N59:O62">SUM(B59,H59)</f>
        <v>8</v>
      </c>
      <c r="O59" s="12">
        <f t="shared" si="18"/>
        <v>16</v>
      </c>
      <c r="P59" s="12">
        <f>SUM(N59:O59)</f>
        <v>24</v>
      </c>
      <c r="Q59" s="11">
        <f aca="true" t="shared" si="19" ref="Q59:R62">SUM(E59,K59)</f>
        <v>3</v>
      </c>
      <c r="R59" s="12">
        <f t="shared" si="19"/>
        <v>11</v>
      </c>
      <c r="S59" s="12">
        <f>SUM(Q59:R59)</f>
        <v>14</v>
      </c>
    </row>
    <row r="60" spans="1:19" ht="12.75">
      <c r="A60" s="2" t="s">
        <v>8</v>
      </c>
      <c r="B60" s="11">
        <v>0</v>
      </c>
      <c r="C60" s="12">
        <v>1</v>
      </c>
      <c r="D60" s="12">
        <f>SUM(B60:C60)</f>
        <v>1</v>
      </c>
      <c r="E60" s="11">
        <v>0</v>
      </c>
      <c r="F60" s="12">
        <v>0</v>
      </c>
      <c r="G60" s="12">
        <f>SUM(E60:F60)</f>
        <v>0</v>
      </c>
      <c r="H60" s="11">
        <v>0</v>
      </c>
      <c r="I60" s="12">
        <v>2</v>
      </c>
      <c r="J60" s="12">
        <f>SUM(H60:I60)</f>
        <v>2</v>
      </c>
      <c r="K60" s="11">
        <v>2</v>
      </c>
      <c r="L60" s="12">
        <v>1</v>
      </c>
      <c r="M60" s="12">
        <f>SUM(K60:L60)</f>
        <v>3</v>
      </c>
      <c r="N60" s="11">
        <f t="shared" si="18"/>
        <v>0</v>
      </c>
      <c r="O60" s="12">
        <f t="shared" si="18"/>
        <v>3</v>
      </c>
      <c r="P60" s="12">
        <f>SUM(N60:O60)</f>
        <v>3</v>
      </c>
      <c r="Q60" s="11">
        <f t="shared" si="19"/>
        <v>2</v>
      </c>
      <c r="R60" s="12">
        <f t="shared" si="19"/>
        <v>1</v>
      </c>
      <c r="S60" s="12">
        <f>SUM(Q60:R60)</f>
        <v>3</v>
      </c>
    </row>
    <row r="61" spans="1:19" ht="12.75">
      <c r="A61" s="2" t="s">
        <v>9</v>
      </c>
      <c r="B61" s="11">
        <v>0</v>
      </c>
      <c r="C61" s="12">
        <v>0</v>
      </c>
      <c r="D61" s="12">
        <f>SUM(B61:C61)</f>
        <v>0</v>
      </c>
      <c r="E61" s="13">
        <v>0</v>
      </c>
      <c r="F61" s="12">
        <v>0</v>
      </c>
      <c r="G61" s="12">
        <f>SUM(E61:F61)</f>
        <v>0</v>
      </c>
      <c r="H61" s="11">
        <v>0</v>
      </c>
      <c r="I61" s="12">
        <v>0</v>
      </c>
      <c r="J61" s="12">
        <f>SUM(H61:I61)</f>
        <v>0</v>
      </c>
      <c r="K61" s="11">
        <v>0</v>
      </c>
      <c r="L61" s="12">
        <v>0</v>
      </c>
      <c r="M61" s="12">
        <f>SUM(K61:L61)</f>
        <v>0</v>
      </c>
      <c r="N61" s="11">
        <f t="shared" si="18"/>
        <v>0</v>
      </c>
      <c r="O61" s="12">
        <f t="shared" si="18"/>
        <v>0</v>
      </c>
      <c r="P61" s="12">
        <f>SUM(N61:O61)</f>
        <v>0</v>
      </c>
      <c r="Q61" s="11">
        <f t="shared" si="19"/>
        <v>0</v>
      </c>
      <c r="R61" s="12">
        <f t="shared" si="19"/>
        <v>0</v>
      </c>
      <c r="S61" s="12">
        <f>SUM(Q61:R61)</f>
        <v>0</v>
      </c>
    </row>
    <row r="62" spans="1:19" ht="12.75">
      <c r="A62" s="2" t="s">
        <v>10</v>
      </c>
      <c r="B62" s="11">
        <v>14</v>
      </c>
      <c r="C62" s="12">
        <v>25</v>
      </c>
      <c r="D62" s="12">
        <f>SUM(B62:C62)</f>
        <v>39</v>
      </c>
      <c r="E62" s="11">
        <v>3</v>
      </c>
      <c r="F62" s="12">
        <v>2</v>
      </c>
      <c r="G62" s="12">
        <f>SUM(E62:F62)</f>
        <v>5</v>
      </c>
      <c r="H62" s="11">
        <v>18</v>
      </c>
      <c r="I62" s="12">
        <v>102</v>
      </c>
      <c r="J62" s="12">
        <f>SUM(H62:I62)</f>
        <v>120</v>
      </c>
      <c r="K62" s="11">
        <v>31</v>
      </c>
      <c r="L62" s="12">
        <v>89</v>
      </c>
      <c r="M62" s="12">
        <f>SUM(K62:L62)</f>
        <v>120</v>
      </c>
      <c r="N62" s="11">
        <f t="shared" si="18"/>
        <v>32</v>
      </c>
      <c r="O62" s="12">
        <f t="shared" si="18"/>
        <v>127</v>
      </c>
      <c r="P62" s="12">
        <f>SUM(N62:O62)</f>
        <v>159</v>
      </c>
      <c r="Q62" s="11">
        <f t="shared" si="19"/>
        <v>34</v>
      </c>
      <c r="R62" s="12">
        <f t="shared" si="19"/>
        <v>91</v>
      </c>
      <c r="S62" s="12">
        <f>SUM(Q62:R62)</f>
        <v>125</v>
      </c>
    </row>
    <row r="63" spans="1:19" ht="12.75">
      <c r="A63" s="19" t="s">
        <v>4</v>
      </c>
      <c r="B63" s="76">
        <f aca="true" t="shared" si="20" ref="B63:S63">SUM(B59:B62)</f>
        <v>15</v>
      </c>
      <c r="C63" s="77">
        <f t="shared" si="20"/>
        <v>28</v>
      </c>
      <c r="D63" s="77">
        <f t="shared" si="20"/>
        <v>43</v>
      </c>
      <c r="E63" s="76">
        <f t="shared" si="20"/>
        <v>4</v>
      </c>
      <c r="F63" s="77">
        <f t="shared" si="20"/>
        <v>3</v>
      </c>
      <c r="G63" s="77">
        <f t="shared" si="20"/>
        <v>7</v>
      </c>
      <c r="H63" s="76">
        <f t="shared" si="20"/>
        <v>25</v>
      </c>
      <c r="I63" s="77">
        <f t="shared" si="20"/>
        <v>118</v>
      </c>
      <c r="J63" s="77">
        <f t="shared" si="20"/>
        <v>143</v>
      </c>
      <c r="K63" s="76">
        <f t="shared" si="20"/>
        <v>35</v>
      </c>
      <c r="L63" s="77">
        <f t="shared" si="20"/>
        <v>100</v>
      </c>
      <c r="M63" s="77">
        <f t="shared" si="20"/>
        <v>135</v>
      </c>
      <c r="N63" s="76">
        <f t="shared" si="20"/>
        <v>40</v>
      </c>
      <c r="O63" s="77">
        <f t="shared" si="20"/>
        <v>146</v>
      </c>
      <c r="P63" s="77">
        <f t="shared" si="20"/>
        <v>186</v>
      </c>
      <c r="Q63" s="76">
        <f t="shared" si="20"/>
        <v>39</v>
      </c>
      <c r="R63" s="77">
        <f t="shared" si="20"/>
        <v>103</v>
      </c>
      <c r="S63" s="77">
        <f t="shared" si="20"/>
        <v>142</v>
      </c>
    </row>
    <row r="64" spans="1:19" ht="12.75">
      <c r="A64" s="2"/>
      <c r="B64" s="11"/>
      <c r="C64" s="12"/>
      <c r="D64" s="12"/>
      <c r="E64" s="11"/>
      <c r="F64" s="12"/>
      <c r="G64" s="12"/>
      <c r="H64" s="11"/>
      <c r="I64" s="12"/>
      <c r="J64" s="12"/>
      <c r="K64" s="11"/>
      <c r="L64" s="12"/>
      <c r="M64" s="12"/>
      <c r="N64" s="11"/>
      <c r="O64" s="12"/>
      <c r="P64" s="12"/>
      <c r="Q64" s="11"/>
      <c r="R64" s="12"/>
      <c r="S64" s="12"/>
    </row>
    <row r="65" spans="1:19" ht="12.75">
      <c r="A65" s="1" t="s">
        <v>16</v>
      </c>
      <c r="B65" s="11"/>
      <c r="C65" s="12"/>
      <c r="D65" s="12"/>
      <c r="E65" s="11"/>
      <c r="F65" s="12"/>
      <c r="G65" s="12"/>
      <c r="H65" s="11"/>
      <c r="I65" s="12"/>
      <c r="J65" s="12"/>
      <c r="K65" s="11"/>
      <c r="L65" s="12"/>
      <c r="M65" s="12"/>
      <c r="N65" s="11"/>
      <c r="O65" s="12"/>
      <c r="P65" s="12"/>
      <c r="Q65" s="11"/>
      <c r="R65" s="12"/>
      <c r="S65" s="12"/>
    </row>
    <row r="66" spans="1:19" ht="12.75">
      <c r="A66" s="2" t="s">
        <v>48</v>
      </c>
      <c r="B66" s="13">
        <v>291</v>
      </c>
      <c r="C66" s="18">
        <v>692</v>
      </c>
      <c r="D66" s="18">
        <f>SUM(B66:C66)</f>
        <v>983</v>
      </c>
      <c r="E66" s="11">
        <v>115</v>
      </c>
      <c r="F66" s="18">
        <v>428</v>
      </c>
      <c r="G66" s="12">
        <f>SUM(E66:F66)</f>
        <v>543</v>
      </c>
      <c r="H66" s="11">
        <v>53</v>
      </c>
      <c r="I66" s="12">
        <v>430</v>
      </c>
      <c r="J66" s="12">
        <f>SUM(H66:I66)</f>
        <v>483</v>
      </c>
      <c r="K66" s="11">
        <v>39</v>
      </c>
      <c r="L66" s="12">
        <v>320</v>
      </c>
      <c r="M66" s="12">
        <f>SUM(K66:L66)</f>
        <v>359</v>
      </c>
      <c r="N66" s="11">
        <f aca="true" t="shared" si="21" ref="N66:O70">SUM(B66,H66)</f>
        <v>344</v>
      </c>
      <c r="O66" s="12">
        <f t="shared" si="21"/>
        <v>1122</v>
      </c>
      <c r="P66" s="12">
        <f>SUM(N66:O66)</f>
        <v>1466</v>
      </c>
      <c r="Q66" s="11">
        <f aca="true" t="shared" si="22" ref="Q66:R70">SUM(E66,K66)</f>
        <v>154</v>
      </c>
      <c r="R66" s="12">
        <f t="shared" si="22"/>
        <v>748</v>
      </c>
      <c r="S66" s="12">
        <f>SUM(Q66:R66)</f>
        <v>902</v>
      </c>
    </row>
    <row r="67" spans="1:19" ht="12.75">
      <c r="A67" s="2" t="s">
        <v>8</v>
      </c>
      <c r="B67" s="11">
        <v>386</v>
      </c>
      <c r="C67" s="12">
        <v>651</v>
      </c>
      <c r="D67" s="12">
        <f>SUM(B67:C67)</f>
        <v>1037</v>
      </c>
      <c r="E67" s="11">
        <v>75</v>
      </c>
      <c r="F67" s="12">
        <v>270</v>
      </c>
      <c r="G67" s="12">
        <f>SUM(E67:F67)</f>
        <v>345</v>
      </c>
      <c r="H67" s="11">
        <v>105</v>
      </c>
      <c r="I67" s="12">
        <v>1054</v>
      </c>
      <c r="J67" s="12">
        <f>SUM(H67:I67)</f>
        <v>1159</v>
      </c>
      <c r="K67" s="11">
        <v>52</v>
      </c>
      <c r="L67" s="12">
        <v>412</v>
      </c>
      <c r="M67" s="12">
        <f>SUM(K67:L67)</f>
        <v>464</v>
      </c>
      <c r="N67" s="11">
        <f t="shared" si="21"/>
        <v>491</v>
      </c>
      <c r="O67" s="12">
        <f t="shared" si="21"/>
        <v>1705</v>
      </c>
      <c r="P67" s="12">
        <f>SUM(N67:O67)</f>
        <v>2196</v>
      </c>
      <c r="Q67" s="11">
        <f t="shared" si="22"/>
        <v>127</v>
      </c>
      <c r="R67" s="12">
        <f t="shared" si="22"/>
        <v>682</v>
      </c>
      <c r="S67" s="12">
        <f>SUM(Q67:R67)</f>
        <v>809</v>
      </c>
    </row>
    <row r="68" spans="1:19" ht="12.75">
      <c r="A68" s="2" t="s">
        <v>9</v>
      </c>
      <c r="B68" s="11">
        <v>12</v>
      </c>
      <c r="C68" s="18">
        <v>19</v>
      </c>
      <c r="D68" s="12">
        <f>SUM(B68:C68)</f>
        <v>31</v>
      </c>
      <c r="E68" s="11">
        <v>1</v>
      </c>
      <c r="F68" s="18">
        <v>6</v>
      </c>
      <c r="G68" s="12">
        <f>SUM(E68:F68)</f>
        <v>7</v>
      </c>
      <c r="H68" s="11">
        <v>0</v>
      </c>
      <c r="I68" s="12">
        <v>22</v>
      </c>
      <c r="J68" s="12">
        <f>SUM(H68:I68)</f>
        <v>22</v>
      </c>
      <c r="K68" s="11">
        <v>5</v>
      </c>
      <c r="L68" s="12">
        <v>16</v>
      </c>
      <c r="M68" s="12">
        <f>SUM(K68:L68)</f>
        <v>21</v>
      </c>
      <c r="N68" s="11">
        <f t="shared" si="21"/>
        <v>12</v>
      </c>
      <c r="O68" s="12">
        <f t="shared" si="21"/>
        <v>41</v>
      </c>
      <c r="P68" s="12">
        <f>SUM(N68:O68)</f>
        <v>53</v>
      </c>
      <c r="Q68" s="11">
        <f t="shared" si="22"/>
        <v>6</v>
      </c>
      <c r="R68" s="12">
        <f t="shared" si="22"/>
        <v>22</v>
      </c>
      <c r="S68" s="12">
        <f>SUM(Q68:R68)</f>
        <v>28</v>
      </c>
    </row>
    <row r="69" spans="1:19" ht="12.75">
      <c r="A69" s="2" t="s">
        <v>10</v>
      </c>
      <c r="B69" s="11">
        <v>46</v>
      </c>
      <c r="C69" s="12">
        <v>62</v>
      </c>
      <c r="D69" s="12">
        <f>SUM(B69:C69)</f>
        <v>108</v>
      </c>
      <c r="E69" s="11">
        <v>10</v>
      </c>
      <c r="F69" s="18">
        <v>37</v>
      </c>
      <c r="G69" s="12">
        <f>SUM(E69:F69)</f>
        <v>47</v>
      </c>
      <c r="H69" s="11">
        <v>12</v>
      </c>
      <c r="I69" s="12">
        <v>69</v>
      </c>
      <c r="J69" s="12">
        <f>SUM(H69:I69)</f>
        <v>81</v>
      </c>
      <c r="K69" s="11">
        <v>3</v>
      </c>
      <c r="L69" s="12">
        <v>63</v>
      </c>
      <c r="M69" s="12">
        <f>SUM(K69:L69)</f>
        <v>66</v>
      </c>
      <c r="N69" s="11">
        <f t="shared" si="21"/>
        <v>58</v>
      </c>
      <c r="O69" s="12">
        <f t="shared" si="21"/>
        <v>131</v>
      </c>
      <c r="P69" s="12">
        <f>SUM(N69:O69)</f>
        <v>189</v>
      </c>
      <c r="Q69" s="11">
        <f t="shared" si="22"/>
        <v>13</v>
      </c>
      <c r="R69" s="12">
        <f t="shared" si="22"/>
        <v>100</v>
      </c>
      <c r="S69" s="12">
        <f>SUM(Q69:R69)</f>
        <v>113</v>
      </c>
    </row>
    <row r="70" spans="1:19" ht="12.75">
      <c r="A70" s="2" t="s">
        <v>17</v>
      </c>
      <c r="B70" s="11">
        <v>135</v>
      </c>
      <c r="C70" s="12">
        <v>68</v>
      </c>
      <c r="D70" s="12">
        <f>SUM(B70:C70)</f>
        <v>203</v>
      </c>
      <c r="E70" s="11">
        <v>51</v>
      </c>
      <c r="F70" s="18">
        <v>50</v>
      </c>
      <c r="G70" s="12">
        <f>SUM(E70:F70)</f>
        <v>101</v>
      </c>
      <c r="H70" s="11">
        <v>4</v>
      </c>
      <c r="I70" s="12">
        <v>7</v>
      </c>
      <c r="J70" s="12">
        <f>SUM(H70:I70)</f>
        <v>11</v>
      </c>
      <c r="K70" s="11">
        <v>4</v>
      </c>
      <c r="L70" s="12">
        <v>8</v>
      </c>
      <c r="M70" s="12">
        <f>SUM(K70:L70)</f>
        <v>12</v>
      </c>
      <c r="N70" s="11">
        <f t="shared" si="21"/>
        <v>139</v>
      </c>
      <c r="O70" s="12">
        <f t="shared" si="21"/>
        <v>75</v>
      </c>
      <c r="P70" s="12">
        <f>SUM(N70:O70)</f>
        <v>214</v>
      </c>
      <c r="Q70" s="11">
        <f t="shared" si="22"/>
        <v>55</v>
      </c>
      <c r="R70" s="12">
        <f t="shared" si="22"/>
        <v>58</v>
      </c>
      <c r="S70" s="12">
        <f>SUM(Q70:R70)</f>
        <v>113</v>
      </c>
    </row>
    <row r="71" spans="1:19" ht="12.75">
      <c r="A71" s="19" t="s">
        <v>4</v>
      </c>
      <c r="B71" s="76">
        <f>SUM(B66:B70)</f>
        <v>870</v>
      </c>
      <c r="C71" s="77">
        <f aca="true" t="shared" si="23" ref="C71:S71">SUM(C66:C70)</f>
        <v>1492</v>
      </c>
      <c r="D71" s="77">
        <f t="shared" si="23"/>
        <v>2362</v>
      </c>
      <c r="E71" s="76">
        <f t="shared" si="23"/>
        <v>252</v>
      </c>
      <c r="F71" s="77">
        <f t="shared" si="23"/>
        <v>791</v>
      </c>
      <c r="G71" s="77">
        <f t="shared" si="23"/>
        <v>1043</v>
      </c>
      <c r="H71" s="76">
        <f t="shared" si="23"/>
        <v>174</v>
      </c>
      <c r="I71" s="77">
        <f t="shared" si="23"/>
        <v>1582</v>
      </c>
      <c r="J71" s="77">
        <f t="shared" si="23"/>
        <v>1756</v>
      </c>
      <c r="K71" s="76">
        <f t="shared" si="23"/>
        <v>103</v>
      </c>
      <c r="L71" s="77">
        <f t="shared" si="23"/>
        <v>819</v>
      </c>
      <c r="M71" s="77">
        <f t="shared" si="23"/>
        <v>922</v>
      </c>
      <c r="N71" s="76">
        <f t="shared" si="23"/>
        <v>1044</v>
      </c>
      <c r="O71" s="77">
        <f t="shared" si="23"/>
        <v>3074</v>
      </c>
      <c r="P71" s="77">
        <f t="shared" si="23"/>
        <v>4118</v>
      </c>
      <c r="Q71" s="76">
        <f t="shared" si="23"/>
        <v>355</v>
      </c>
      <c r="R71" s="77">
        <f t="shared" si="23"/>
        <v>1610</v>
      </c>
      <c r="S71" s="77">
        <f t="shared" si="23"/>
        <v>1965</v>
      </c>
    </row>
    <row r="72" spans="1:19" ht="12.75">
      <c r="A72" s="19"/>
      <c r="B72" s="23"/>
      <c r="C72" s="24"/>
      <c r="D72" s="24"/>
      <c r="E72" s="23"/>
      <c r="F72" s="24"/>
      <c r="G72" s="24"/>
      <c r="H72" s="23"/>
      <c r="I72" s="24"/>
      <c r="J72" s="24"/>
      <c r="K72" s="23"/>
      <c r="L72" s="24"/>
      <c r="M72" s="24"/>
      <c r="N72" s="23"/>
      <c r="O72" s="24"/>
      <c r="P72" s="24"/>
      <c r="Q72" s="23"/>
      <c r="R72" s="24"/>
      <c r="S72" s="24"/>
    </row>
    <row r="73" spans="1:19" s="138" customFormat="1" ht="30.75" customHeight="1">
      <c r="A73" s="227" t="s">
        <v>79</v>
      </c>
      <c r="B73" s="23">
        <f aca="true" t="shared" si="24" ref="B73:S73">SUM(B71,B63,B56,B49,B39,B36,B29,B22,B15)</f>
        <v>3013</v>
      </c>
      <c r="C73" s="24">
        <f t="shared" si="24"/>
        <v>6099</v>
      </c>
      <c r="D73" s="24">
        <f t="shared" si="24"/>
        <v>9112</v>
      </c>
      <c r="E73" s="23">
        <f t="shared" si="24"/>
        <v>1151</v>
      </c>
      <c r="F73" s="24">
        <f t="shared" si="24"/>
        <v>2749</v>
      </c>
      <c r="G73" s="24">
        <f t="shared" si="24"/>
        <v>3900</v>
      </c>
      <c r="H73" s="23">
        <f t="shared" si="24"/>
        <v>749</v>
      </c>
      <c r="I73" s="24">
        <f t="shared" si="24"/>
        <v>8044</v>
      </c>
      <c r="J73" s="24">
        <f t="shared" si="24"/>
        <v>8793</v>
      </c>
      <c r="K73" s="23">
        <f t="shared" si="24"/>
        <v>766</v>
      </c>
      <c r="L73" s="24">
        <f t="shared" si="24"/>
        <v>4278</v>
      </c>
      <c r="M73" s="24">
        <f t="shared" si="24"/>
        <v>5044</v>
      </c>
      <c r="N73" s="23">
        <f t="shared" si="24"/>
        <v>3762</v>
      </c>
      <c r="O73" s="24">
        <f t="shared" si="24"/>
        <v>14143</v>
      </c>
      <c r="P73" s="24">
        <f t="shared" si="24"/>
        <v>17905</v>
      </c>
      <c r="Q73" s="23">
        <f t="shared" si="24"/>
        <v>1917</v>
      </c>
      <c r="R73" s="24">
        <f t="shared" si="24"/>
        <v>7027</v>
      </c>
      <c r="S73" s="24">
        <f t="shared" si="24"/>
        <v>8944</v>
      </c>
    </row>
    <row r="74" spans="1:19" s="99" customFormat="1" ht="13.5" customHeight="1">
      <c r="A74" s="215"/>
      <c r="B74" s="90"/>
      <c r="C74" s="216"/>
      <c r="D74" s="216"/>
      <c r="E74" s="90"/>
      <c r="F74" s="216"/>
      <c r="G74" s="216"/>
      <c r="H74" s="90"/>
      <c r="I74" s="216"/>
      <c r="J74" s="216"/>
      <c r="K74" s="90"/>
      <c r="L74" s="216"/>
      <c r="M74" s="216"/>
      <c r="N74" s="90"/>
      <c r="O74" s="216"/>
      <c r="P74" s="216"/>
      <c r="Q74" s="90"/>
      <c r="R74" s="216"/>
      <c r="S74" s="216"/>
    </row>
    <row r="75" spans="1:19" s="99" customFormat="1" ht="31.5" customHeight="1">
      <c r="A75" s="227" t="s">
        <v>84</v>
      </c>
      <c r="B75" s="97">
        <f>SUM(B71,B63,B56,B49,B39,B36,B29,B22,B15,B42)</f>
        <v>3013</v>
      </c>
      <c r="C75" s="98">
        <f aca="true" t="shared" si="25" ref="C75:S75">SUM(C71,C63,C56,C49,C39,C36,C29,C22,C15,C42)</f>
        <v>6099</v>
      </c>
      <c r="D75" s="174">
        <f t="shared" si="25"/>
        <v>9112</v>
      </c>
      <c r="E75" s="97">
        <f t="shared" si="25"/>
        <v>1155</v>
      </c>
      <c r="F75" s="98">
        <f t="shared" si="25"/>
        <v>2760</v>
      </c>
      <c r="G75" s="174">
        <f t="shared" si="25"/>
        <v>3915</v>
      </c>
      <c r="H75" s="97">
        <f t="shared" si="25"/>
        <v>749</v>
      </c>
      <c r="I75" s="98">
        <f t="shared" si="25"/>
        <v>8044</v>
      </c>
      <c r="J75" s="174">
        <f t="shared" si="25"/>
        <v>8793</v>
      </c>
      <c r="K75" s="97">
        <f t="shared" si="25"/>
        <v>768</v>
      </c>
      <c r="L75" s="98">
        <f t="shared" si="25"/>
        <v>4334</v>
      </c>
      <c r="M75" s="174">
        <f t="shared" si="25"/>
        <v>5102</v>
      </c>
      <c r="N75" s="97">
        <f t="shared" si="25"/>
        <v>3762</v>
      </c>
      <c r="O75" s="98">
        <f t="shared" si="25"/>
        <v>14143</v>
      </c>
      <c r="P75" s="174">
        <f t="shared" si="25"/>
        <v>17905</v>
      </c>
      <c r="Q75" s="97">
        <f t="shared" si="25"/>
        <v>1923</v>
      </c>
      <c r="R75" s="98">
        <f t="shared" si="25"/>
        <v>7094</v>
      </c>
      <c r="S75" s="98">
        <f t="shared" si="25"/>
        <v>9017</v>
      </c>
    </row>
    <row r="76" spans="2:19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4" t="s">
        <v>18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</sheetData>
  <sheetProtection/>
  <printOptions horizontalCentered="1"/>
  <pageMargins left="0.1968503937007874" right="0.1968503937007874" top="0.5905511811023623" bottom="0.7874015748031497" header="0.5118110236220472" footer="0.5118110236220472"/>
  <pageSetup fitToHeight="2" horizontalDpi="300" verticalDpi="300" orientation="landscape" paperSize="9" scale="75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D60" sqref="D60"/>
    </sheetView>
  </sheetViews>
  <sheetFormatPr defaultColWidth="9.140625" defaultRowHeight="12.75"/>
  <cols>
    <col min="1" max="1" width="27.421875" style="4" customWidth="1"/>
    <col min="2" max="19" width="8.140625" style="4" customWidth="1"/>
    <col min="20" max="16384" width="9.140625" style="4" customWidth="1"/>
  </cols>
  <sheetData>
    <row r="1" spans="1:19" ht="12.75">
      <c r="A1" s="139" t="s">
        <v>65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5" t="s">
        <v>61</v>
      </c>
      <c r="B2" s="6"/>
      <c r="C2" s="6"/>
      <c r="D2" s="5"/>
      <c r="E2" s="137"/>
      <c r="F2" s="6"/>
      <c r="G2" s="7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5"/>
      <c r="B3" s="6"/>
      <c r="C3" s="6"/>
      <c r="D3" s="6"/>
      <c r="E3" s="137"/>
      <c r="F3" s="5"/>
      <c r="G3" s="7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" t="s">
        <v>60</v>
      </c>
      <c r="B4" s="6"/>
      <c r="C4" s="6"/>
      <c r="D4" s="6"/>
      <c r="E4" s="137"/>
      <c r="F4" s="5"/>
      <c r="G4" s="7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9" customHeight="1" thickBot="1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8"/>
      <c r="B6" s="165" t="s">
        <v>39</v>
      </c>
      <c r="C6" s="166"/>
      <c r="D6" s="166"/>
      <c r="E6" s="166"/>
      <c r="F6" s="166"/>
      <c r="G6" s="166"/>
      <c r="H6" s="165" t="s">
        <v>40</v>
      </c>
      <c r="I6" s="166"/>
      <c r="J6" s="166"/>
      <c r="K6" s="166"/>
      <c r="L6" s="166"/>
      <c r="M6" s="166"/>
      <c r="N6" s="165" t="s">
        <v>4</v>
      </c>
      <c r="O6" s="166"/>
      <c r="P6" s="166"/>
      <c r="Q6" s="166"/>
      <c r="R6" s="166"/>
      <c r="S6" s="166"/>
    </row>
    <row r="7" spans="1:19" ht="12.75">
      <c r="A7" s="3"/>
      <c r="B7" s="167" t="s">
        <v>27</v>
      </c>
      <c r="C7" s="168"/>
      <c r="D7" s="168"/>
      <c r="E7" s="167" t="s">
        <v>28</v>
      </c>
      <c r="F7" s="168"/>
      <c r="G7" s="168"/>
      <c r="H7" s="167" t="s">
        <v>27</v>
      </c>
      <c r="I7" s="168"/>
      <c r="J7" s="168"/>
      <c r="K7" s="167" t="s">
        <v>28</v>
      </c>
      <c r="L7" s="168"/>
      <c r="M7" s="168"/>
      <c r="N7" s="167" t="s">
        <v>27</v>
      </c>
      <c r="O7" s="168"/>
      <c r="P7" s="168"/>
      <c r="Q7" s="167" t="s">
        <v>28</v>
      </c>
      <c r="R7" s="168"/>
      <c r="S7" s="168"/>
    </row>
    <row r="8" spans="1:19" s="169" customFormat="1" ht="12.75">
      <c r="A8" s="70"/>
      <c r="B8" s="195" t="s">
        <v>5</v>
      </c>
      <c r="C8" s="196" t="s">
        <v>6</v>
      </c>
      <c r="D8" s="196" t="s">
        <v>4</v>
      </c>
      <c r="E8" s="195" t="s">
        <v>5</v>
      </c>
      <c r="F8" s="196" t="s">
        <v>6</v>
      </c>
      <c r="G8" s="196" t="s">
        <v>4</v>
      </c>
      <c r="H8" s="195" t="s">
        <v>5</v>
      </c>
      <c r="I8" s="196" t="s">
        <v>6</v>
      </c>
      <c r="J8" s="196" t="s">
        <v>4</v>
      </c>
      <c r="K8" s="195" t="s">
        <v>5</v>
      </c>
      <c r="L8" s="196" t="s">
        <v>6</v>
      </c>
      <c r="M8" s="196" t="s">
        <v>4</v>
      </c>
      <c r="N8" s="195" t="s">
        <v>5</v>
      </c>
      <c r="O8" s="196" t="s">
        <v>6</v>
      </c>
      <c r="P8" s="196" t="s">
        <v>4</v>
      </c>
      <c r="Q8" s="195" t="s">
        <v>5</v>
      </c>
      <c r="R8" s="196" t="s">
        <v>6</v>
      </c>
      <c r="S8" s="196" t="s">
        <v>4</v>
      </c>
    </row>
    <row r="9" spans="1:19" ht="6" customHeight="1">
      <c r="A9" s="2"/>
      <c r="B9" s="11"/>
      <c r="C9" s="12"/>
      <c r="D9" s="12"/>
      <c r="E9" s="11"/>
      <c r="F9" s="12"/>
      <c r="G9" s="12"/>
      <c r="H9" s="11"/>
      <c r="I9" s="12"/>
      <c r="J9" s="12"/>
      <c r="K9" s="11"/>
      <c r="L9" s="12"/>
      <c r="M9" s="12"/>
      <c r="N9" s="11"/>
      <c r="O9" s="12"/>
      <c r="P9" s="12"/>
      <c r="Q9" s="11"/>
      <c r="R9" s="12"/>
      <c r="S9" s="12"/>
    </row>
    <row r="10" spans="1:19" ht="12.75">
      <c r="A10" s="1" t="s">
        <v>7</v>
      </c>
      <c r="B10" s="11"/>
      <c r="C10" s="12"/>
      <c r="D10" s="12"/>
      <c r="E10" s="11"/>
      <c r="F10" s="12"/>
      <c r="G10" s="12"/>
      <c r="H10" s="11"/>
      <c r="I10" s="12"/>
      <c r="J10" s="12"/>
      <c r="K10" s="11"/>
      <c r="L10" s="12"/>
      <c r="M10" s="12"/>
      <c r="N10" s="11"/>
      <c r="O10" s="12"/>
      <c r="P10" s="12"/>
      <c r="Q10" s="11"/>
      <c r="R10" s="12"/>
      <c r="S10" s="12"/>
    </row>
    <row r="11" spans="1:19" s="103" customFormat="1" ht="12.75">
      <c r="A11" s="101" t="s">
        <v>42</v>
      </c>
      <c r="B11" s="115">
        <f>137+4</f>
        <v>141</v>
      </c>
      <c r="C11" s="116">
        <f>164+4</f>
        <v>168</v>
      </c>
      <c r="D11" s="116">
        <f>SUM(B11:C11)</f>
        <v>309</v>
      </c>
      <c r="E11" s="115">
        <f>7+1</f>
        <v>8</v>
      </c>
      <c r="F11" s="116">
        <f>37+66</f>
        <v>103</v>
      </c>
      <c r="G11" s="116">
        <f>SUM(E11:F11)</f>
        <v>111</v>
      </c>
      <c r="H11" s="115">
        <f>31+0</f>
        <v>31</v>
      </c>
      <c r="I11" s="116">
        <f>508+9</f>
        <v>517</v>
      </c>
      <c r="J11" s="116">
        <f>SUM(H11:I11)</f>
        <v>548</v>
      </c>
      <c r="K11" s="117">
        <f>16+1</f>
        <v>17</v>
      </c>
      <c r="L11" s="116">
        <f>141+162</f>
        <v>303</v>
      </c>
      <c r="M11" s="116">
        <f>SUM(K11:L11)</f>
        <v>320</v>
      </c>
      <c r="N11" s="115">
        <f aca="true" t="shared" si="0" ref="N11:S13">SUM(B11,H11)</f>
        <v>172</v>
      </c>
      <c r="O11" s="116">
        <f t="shared" si="0"/>
        <v>685</v>
      </c>
      <c r="P11" s="116">
        <f t="shared" si="0"/>
        <v>857</v>
      </c>
      <c r="Q11" s="115">
        <f t="shared" si="0"/>
        <v>25</v>
      </c>
      <c r="R11" s="116">
        <f t="shared" si="0"/>
        <v>406</v>
      </c>
      <c r="S11" s="116">
        <f t="shared" si="0"/>
        <v>431</v>
      </c>
    </row>
    <row r="12" spans="1:19" s="103" customFormat="1" ht="12.75">
      <c r="A12" s="101" t="s">
        <v>51</v>
      </c>
      <c r="B12" s="115">
        <v>142</v>
      </c>
      <c r="C12" s="116">
        <v>478</v>
      </c>
      <c r="D12" s="116">
        <f>SUM(B12:C12)</f>
        <v>620</v>
      </c>
      <c r="E12" s="115">
        <v>49</v>
      </c>
      <c r="F12" s="116">
        <v>280</v>
      </c>
      <c r="G12" s="116">
        <f>SUM(E12:F12)</f>
        <v>329</v>
      </c>
      <c r="H12" s="115">
        <v>50</v>
      </c>
      <c r="I12" s="116">
        <v>1391</v>
      </c>
      <c r="J12" s="116">
        <f>SUM(H12:I12)</f>
        <v>1441</v>
      </c>
      <c r="K12" s="117">
        <v>263</v>
      </c>
      <c r="L12" s="116">
        <v>2849</v>
      </c>
      <c r="M12" s="116">
        <f>SUM(K12:L12)</f>
        <v>3112</v>
      </c>
      <c r="N12" s="115">
        <f t="shared" si="0"/>
        <v>192</v>
      </c>
      <c r="O12" s="116">
        <f t="shared" si="0"/>
        <v>1869</v>
      </c>
      <c r="P12" s="116">
        <f t="shared" si="0"/>
        <v>2061</v>
      </c>
      <c r="Q12" s="115">
        <f t="shared" si="0"/>
        <v>312</v>
      </c>
      <c r="R12" s="116">
        <f t="shared" si="0"/>
        <v>3129</v>
      </c>
      <c r="S12" s="116">
        <f t="shared" si="0"/>
        <v>3441</v>
      </c>
    </row>
    <row r="13" spans="1:19" s="103" customFormat="1" ht="12" customHeight="1">
      <c r="A13" s="101" t="s">
        <v>58</v>
      </c>
      <c r="B13" s="115">
        <v>111</v>
      </c>
      <c r="C13" s="116">
        <v>422</v>
      </c>
      <c r="D13" s="116">
        <f>SUM(B13:C13)</f>
        <v>533</v>
      </c>
      <c r="E13" s="115">
        <v>71</v>
      </c>
      <c r="F13" s="116">
        <v>169</v>
      </c>
      <c r="G13" s="116">
        <f>SUM(E13:F13)</f>
        <v>240</v>
      </c>
      <c r="H13" s="115">
        <v>140</v>
      </c>
      <c r="I13" s="116">
        <v>2495</v>
      </c>
      <c r="J13" s="116">
        <f>SUM(H13:I13)</f>
        <v>2635</v>
      </c>
      <c r="K13" s="117">
        <v>276</v>
      </c>
      <c r="L13" s="116">
        <v>1695</v>
      </c>
      <c r="M13" s="116">
        <f>SUM(K13:L13)</f>
        <v>1971</v>
      </c>
      <c r="N13" s="115">
        <f t="shared" si="0"/>
        <v>251</v>
      </c>
      <c r="O13" s="116">
        <f t="shared" si="0"/>
        <v>2917</v>
      </c>
      <c r="P13" s="116">
        <f t="shared" si="0"/>
        <v>3168</v>
      </c>
      <c r="Q13" s="115">
        <f t="shared" si="0"/>
        <v>347</v>
      </c>
      <c r="R13" s="116">
        <f t="shared" si="0"/>
        <v>1864</v>
      </c>
      <c r="S13" s="116">
        <f t="shared" si="0"/>
        <v>2211</v>
      </c>
    </row>
    <row r="14" spans="1:19" s="103" customFormat="1" ht="12" customHeight="1">
      <c r="A14" s="101" t="s">
        <v>72</v>
      </c>
      <c r="B14" s="115">
        <v>106</v>
      </c>
      <c r="C14" s="116">
        <v>434</v>
      </c>
      <c r="D14" s="116">
        <f>SUM(B14:C14)</f>
        <v>540</v>
      </c>
      <c r="E14" s="115">
        <v>64</v>
      </c>
      <c r="F14" s="116">
        <v>191</v>
      </c>
      <c r="G14" s="116">
        <f>SUM(E14:F14)</f>
        <v>255</v>
      </c>
      <c r="H14" s="115">
        <v>194</v>
      </c>
      <c r="I14" s="116">
        <v>2937</v>
      </c>
      <c r="J14" s="116">
        <f>SUM(H14:I14)</f>
        <v>3131</v>
      </c>
      <c r="K14" s="117">
        <v>255</v>
      </c>
      <c r="L14" s="116">
        <v>1600</v>
      </c>
      <c r="M14" s="116">
        <f>SUM(K14:L14)</f>
        <v>1855</v>
      </c>
      <c r="N14" s="115">
        <f aca="true" t="shared" si="1" ref="N14:S14">SUM(B14,H14)</f>
        <v>300</v>
      </c>
      <c r="O14" s="116">
        <f t="shared" si="1"/>
        <v>3371</v>
      </c>
      <c r="P14" s="116">
        <f t="shared" si="1"/>
        <v>3671</v>
      </c>
      <c r="Q14" s="115">
        <f t="shared" si="1"/>
        <v>319</v>
      </c>
      <c r="R14" s="116">
        <f t="shared" si="1"/>
        <v>1791</v>
      </c>
      <c r="S14" s="116">
        <f t="shared" si="1"/>
        <v>2110</v>
      </c>
    </row>
    <row r="15" spans="1:19" ht="12.75">
      <c r="A15" s="3"/>
      <c r="B15" s="11"/>
      <c r="C15" s="12"/>
      <c r="D15" s="12"/>
      <c r="E15" s="11"/>
      <c r="F15" s="12"/>
      <c r="G15" s="12"/>
      <c r="H15" s="11"/>
      <c r="I15" s="12"/>
      <c r="J15" s="12"/>
      <c r="K15" s="11"/>
      <c r="L15" s="12"/>
      <c r="M15" s="12"/>
      <c r="N15" s="11"/>
      <c r="O15" s="12"/>
      <c r="P15" s="12"/>
      <c r="Q15" s="11"/>
      <c r="R15" s="12"/>
      <c r="S15" s="12"/>
    </row>
    <row r="16" spans="1:19" ht="12.75">
      <c r="A16" s="1" t="s">
        <v>11</v>
      </c>
      <c r="B16" s="11"/>
      <c r="C16" s="12"/>
      <c r="D16" s="12"/>
      <c r="E16" s="11"/>
      <c r="F16" s="12"/>
      <c r="G16" s="12"/>
      <c r="H16" s="11"/>
      <c r="I16" s="12"/>
      <c r="J16" s="12"/>
      <c r="K16" s="11"/>
      <c r="L16" s="12"/>
      <c r="M16" s="12"/>
      <c r="N16" s="11"/>
      <c r="O16" s="12"/>
      <c r="P16" s="12"/>
      <c r="Q16" s="11"/>
      <c r="R16" s="12"/>
      <c r="S16" s="12"/>
    </row>
    <row r="17" spans="1:19" s="103" customFormat="1" ht="12.75">
      <c r="A17" s="101" t="s">
        <v>42</v>
      </c>
      <c r="B17" s="115">
        <f>199+0</f>
        <v>199</v>
      </c>
      <c r="C17" s="116">
        <f>641+4</f>
        <v>645</v>
      </c>
      <c r="D17" s="116">
        <f>SUM(B17:C17)</f>
        <v>844</v>
      </c>
      <c r="E17" s="115">
        <f>35+0</f>
        <v>35</v>
      </c>
      <c r="F17" s="116">
        <f>190+4</f>
        <v>194</v>
      </c>
      <c r="G17" s="116">
        <f>SUM(E17:F17)</f>
        <v>229</v>
      </c>
      <c r="H17" s="115">
        <f>52+1</f>
        <v>53</v>
      </c>
      <c r="I17" s="116">
        <f>552+11</f>
        <v>563</v>
      </c>
      <c r="J17" s="116">
        <f>SUM(H17:I17)</f>
        <v>616</v>
      </c>
      <c r="K17" s="117">
        <f>38+1</f>
        <v>39</v>
      </c>
      <c r="L17" s="116">
        <f>470+4</f>
        <v>474</v>
      </c>
      <c r="M17" s="116">
        <f>SUM(K17:L17)</f>
        <v>513</v>
      </c>
      <c r="N17" s="115">
        <f aca="true" t="shared" si="2" ref="N17:S19">SUM(B17,H17)</f>
        <v>252</v>
      </c>
      <c r="O17" s="116">
        <f t="shared" si="2"/>
        <v>1208</v>
      </c>
      <c r="P17" s="116">
        <f t="shared" si="2"/>
        <v>1460</v>
      </c>
      <c r="Q17" s="115">
        <f t="shared" si="2"/>
        <v>74</v>
      </c>
      <c r="R17" s="116">
        <f t="shared" si="2"/>
        <v>668</v>
      </c>
      <c r="S17" s="116">
        <f t="shared" si="2"/>
        <v>742</v>
      </c>
    </row>
    <row r="18" spans="1:19" s="103" customFormat="1" ht="12.75">
      <c r="A18" s="101" t="s">
        <v>51</v>
      </c>
      <c r="B18" s="115">
        <v>204</v>
      </c>
      <c r="C18" s="116">
        <v>809</v>
      </c>
      <c r="D18" s="116">
        <f>SUM(B18:C18)</f>
        <v>1013</v>
      </c>
      <c r="E18" s="115">
        <v>61</v>
      </c>
      <c r="F18" s="116">
        <v>370</v>
      </c>
      <c r="G18" s="116">
        <f>SUM(E18:F18)</f>
        <v>431</v>
      </c>
      <c r="H18" s="115">
        <v>55</v>
      </c>
      <c r="I18" s="116">
        <v>712</v>
      </c>
      <c r="J18" s="116">
        <f>SUM(H18:I18)</f>
        <v>767</v>
      </c>
      <c r="K18" s="117">
        <v>59</v>
      </c>
      <c r="L18" s="116">
        <v>604</v>
      </c>
      <c r="M18" s="116">
        <f>SUM(K18:L18)</f>
        <v>663</v>
      </c>
      <c r="N18" s="115">
        <f t="shared" si="2"/>
        <v>259</v>
      </c>
      <c r="O18" s="116">
        <f t="shared" si="2"/>
        <v>1521</v>
      </c>
      <c r="P18" s="116">
        <f t="shared" si="2"/>
        <v>1780</v>
      </c>
      <c r="Q18" s="115">
        <f t="shared" si="2"/>
        <v>120</v>
      </c>
      <c r="R18" s="116">
        <f t="shared" si="2"/>
        <v>974</v>
      </c>
      <c r="S18" s="116">
        <f t="shared" si="2"/>
        <v>1094</v>
      </c>
    </row>
    <row r="19" spans="1:19" s="103" customFormat="1" ht="12.75">
      <c r="A19" s="101" t="s">
        <v>58</v>
      </c>
      <c r="B19" s="115">
        <v>221</v>
      </c>
      <c r="C19" s="116">
        <v>891</v>
      </c>
      <c r="D19" s="116">
        <f>SUM(B19:C19)</f>
        <v>1112</v>
      </c>
      <c r="E19" s="115">
        <v>73</v>
      </c>
      <c r="F19" s="116">
        <v>430</v>
      </c>
      <c r="G19" s="116">
        <f>SUM(E19:F19)</f>
        <v>503</v>
      </c>
      <c r="H19" s="115">
        <v>54</v>
      </c>
      <c r="I19" s="116">
        <v>836</v>
      </c>
      <c r="J19" s="116">
        <f>SUM(H19:I19)</f>
        <v>890</v>
      </c>
      <c r="K19" s="117">
        <v>57</v>
      </c>
      <c r="L19" s="116">
        <v>611</v>
      </c>
      <c r="M19" s="116">
        <f>SUM(K19:L19)</f>
        <v>668</v>
      </c>
      <c r="N19" s="115">
        <f t="shared" si="2"/>
        <v>275</v>
      </c>
      <c r="O19" s="116">
        <f t="shared" si="2"/>
        <v>1727</v>
      </c>
      <c r="P19" s="116">
        <f t="shared" si="2"/>
        <v>2002</v>
      </c>
      <c r="Q19" s="115">
        <f t="shared" si="2"/>
        <v>130</v>
      </c>
      <c r="R19" s="116">
        <f t="shared" si="2"/>
        <v>1041</v>
      </c>
      <c r="S19" s="116">
        <f t="shared" si="2"/>
        <v>1171</v>
      </c>
    </row>
    <row r="20" spans="1:19" s="103" customFormat="1" ht="12.75">
      <c r="A20" s="101" t="s">
        <v>72</v>
      </c>
      <c r="B20" s="115">
        <v>114</v>
      </c>
      <c r="C20" s="116">
        <v>636</v>
      </c>
      <c r="D20" s="116">
        <f>SUM(B20:C20)</f>
        <v>750</v>
      </c>
      <c r="E20" s="115">
        <v>21</v>
      </c>
      <c r="F20" s="116">
        <v>277</v>
      </c>
      <c r="G20" s="116">
        <f>SUM(E20:F20)</f>
        <v>298</v>
      </c>
      <c r="H20" s="115">
        <v>41</v>
      </c>
      <c r="I20" s="116">
        <v>813</v>
      </c>
      <c r="J20" s="116">
        <f>SUM(H20:I20)</f>
        <v>854</v>
      </c>
      <c r="K20" s="117">
        <v>48</v>
      </c>
      <c r="L20" s="116">
        <v>595</v>
      </c>
      <c r="M20" s="116">
        <f>SUM(K20:L20)</f>
        <v>643</v>
      </c>
      <c r="N20" s="115">
        <f aca="true" t="shared" si="3" ref="N20:S20">SUM(B20,H20)</f>
        <v>155</v>
      </c>
      <c r="O20" s="116">
        <f t="shared" si="3"/>
        <v>1449</v>
      </c>
      <c r="P20" s="116">
        <f t="shared" si="3"/>
        <v>1604</v>
      </c>
      <c r="Q20" s="115">
        <f t="shared" si="3"/>
        <v>69</v>
      </c>
      <c r="R20" s="116">
        <f t="shared" si="3"/>
        <v>872</v>
      </c>
      <c r="S20" s="116">
        <f t="shared" si="3"/>
        <v>941</v>
      </c>
    </row>
    <row r="21" spans="1:19" ht="12.75">
      <c r="A21" s="2"/>
      <c r="B21" s="11"/>
      <c r="C21" s="12"/>
      <c r="D21" s="12"/>
      <c r="E21" s="11"/>
      <c r="F21" s="12"/>
      <c r="G21" s="12"/>
      <c r="H21" s="11"/>
      <c r="I21" s="12"/>
      <c r="J21" s="12"/>
      <c r="K21" s="11"/>
      <c r="L21" s="12"/>
      <c r="M21" s="12"/>
      <c r="N21" s="11"/>
      <c r="O21" s="12"/>
      <c r="P21" s="12"/>
      <c r="Q21" s="11"/>
      <c r="R21" s="12"/>
      <c r="S21" s="12"/>
    </row>
    <row r="22" spans="1:19" ht="12.75">
      <c r="A22" s="1" t="s">
        <v>12</v>
      </c>
      <c r="B22" s="11"/>
      <c r="C22" s="12"/>
      <c r="D22" s="12"/>
      <c r="E22" s="11"/>
      <c r="F22" s="12"/>
      <c r="G22" s="12"/>
      <c r="H22" s="11"/>
      <c r="I22" s="12"/>
      <c r="J22" s="12"/>
      <c r="K22" s="11"/>
      <c r="L22" s="12"/>
      <c r="M22" s="12"/>
      <c r="N22" s="11"/>
      <c r="O22" s="12"/>
      <c r="P22" s="12"/>
      <c r="Q22" s="11"/>
      <c r="R22" s="12"/>
      <c r="S22" s="12"/>
    </row>
    <row r="23" spans="1:19" s="103" customFormat="1" ht="12.75">
      <c r="A23" s="101" t="s">
        <v>42</v>
      </c>
      <c r="B23" s="115">
        <v>1556</v>
      </c>
      <c r="C23" s="116">
        <v>2182</v>
      </c>
      <c r="D23" s="116">
        <f>SUM(B23:C23)</f>
        <v>3738</v>
      </c>
      <c r="E23" s="115">
        <v>265</v>
      </c>
      <c r="F23" s="116">
        <v>614</v>
      </c>
      <c r="G23" s="116">
        <f>SUM(E23:F23)</f>
        <v>879</v>
      </c>
      <c r="H23" s="115">
        <v>168</v>
      </c>
      <c r="I23" s="116">
        <v>1885</v>
      </c>
      <c r="J23" s="116">
        <f>SUM(H23:I23)</f>
        <v>2053</v>
      </c>
      <c r="K23" s="117">
        <v>148</v>
      </c>
      <c r="L23" s="116">
        <v>676</v>
      </c>
      <c r="M23" s="116">
        <f>SUM(K23:L23)</f>
        <v>824</v>
      </c>
      <c r="N23" s="115">
        <f aca="true" t="shared" si="4" ref="N23:S25">SUM(B23,H23)</f>
        <v>1724</v>
      </c>
      <c r="O23" s="116">
        <f t="shared" si="4"/>
        <v>4067</v>
      </c>
      <c r="P23" s="116">
        <f t="shared" si="4"/>
        <v>5791</v>
      </c>
      <c r="Q23" s="115">
        <f t="shared" si="4"/>
        <v>413</v>
      </c>
      <c r="R23" s="116">
        <f>SUM(F23,L23)</f>
        <v>1290</v>
      </c>
      <c r="S23" s="116">
        <f>SUM(G23,M23)</f>
        <v>1703</v>
      </c>
    </row>
    <row r="24" spans="1:19" s="103" customFormat="1" ht="12.75">
      <c r="A24" s="101" t="s">
        <v>51</v>
      </c>
      <c r="B24" s="115">
        <v>1461</v>
      </c>
      <c r="C24" s="116">
        <v>2291</v>
      </c>
      <c r="D24" s="116">
        <f>SUM(B24:C24)</f>
        <v>3752</v>
      </c>
      <c r="E24" s="115">
        <v>438</v>
      </c>
      <c r="F24" s="116">
        <v>986</v>
      </c>
      <c r="G24" s="116">
        <f>SUM(E24:F24)</f>
        <v>1424</v>
      </c>
      <c r="H24" s="115">
        <v>215</v>
      </c>
      <c r="I24" s="116">
        <v>1874</v>
      </c>
      <c r="J24" s="116">
        <f>SUM(H24:I24)</f>
        <v>2089</v>
      </c>
      <c r="K24" s="117">
        <v>145</v>
      </c>
      <c r="L24" s="116">
        <v>665</v>
      </c>
      <c r="M24" s="116">
        <f>SUM(K24:L24)</f>
        <v>810</v>
      </c>
      <c r="N24" s="115">
        <f t="shared" si="4"/>
        <v>1676</v>
      </c>
      <c r="O24" s="116">
        <f t="shared" si="4"/>
        <v>4165</v>
      </c>
      <c r="P24" s="116">
        <f t="shared" si="4"/>
        <v>5841</v>
      </c>
      <c r="Q24" s="115">
        <f t="shared" si="4"/>
        <v>583</v>
      </c>
      <c r="R24" s="116">
        <f>SUM(F24,L24)</f>
        <v>1651</v>
      </c>
      <c r="S24" s="116">
        <f>SUM(G24,M24)</f>
        <v>2234</v>
      </c>
    </row>
    <row r="25" spans="1:19" s="103" customFormat="1" ht="12.75">
      <c r="A25" s="101" t="s">
        <v>58</v>
      </c>
      <c r="B25" s="115">
        <v>1423</v>
      </c>
      <c r="C25" s="116">
        <v>2463</v>
      </c>
      <c r="D25" s="116">
        <f>SUM(B25:C25)</f>
        <v>3886</v>
      </c>
      <c r="E25" s="115">
        <v>441</v>
      </c>
      <c r="F25" s="116">
        <v>816</v>
      </c>
      <c r="G25" s="116">
        <f>SUM(E25:F25)</f>
        <v>1257</v>
      </c>
      <c r="H25" s="115">
        <v>192</v>
      </c>
      <c r="I25" s="116">
        <v>1746</v>
      </c>
      <c r="J25" s="116">
        <f>SUM(H25:I25)</f>
        <v>1938</v>
      </c>
      <c r="K25" s="117">
        <v>197</v>
      </c>
      <c r="L25" s="116">
        <v>631</v>
      </c>
      <c r="M25" s="116">
        <f>SUM(K25:L25)</f>
        <v>828</v>
      </c>
      <c r="N25" s="115">
        <f t="shared" si="4"/>
        <v>1615</v>
      </c>
      <c r="O25" s="116">
        <f t="shared" si="4"/>
        <v>4209</v>
      </c>
      <c r="P25" s="116">
        <f t="shared" si="4"/>
        <v>5824</v>
      </c>
      <c r="Q25" s="115">
        <f t="shared" si="4"/>
        <v>638</v>
      </c>
      <c r="R25" s="116">
        <f t="shared" si="4"/>
        <v>1447</v>
      </c>
      <c r="S25" s="116">
        <f t="shared" si="4"/>
        <v>2085</v>
      </c>
    </row>
    <row r="26" spans="1:19" s="103" customFormat="1" ht="12.75">
      <c r="A26" s="101" t="s">
        <v>72</v>
      </c>
      <c r="B26" s="115">
        <v>1334</v>
      </c>
      <c r="C26" s="116">
        <v>2466</v>
      </c>
      <c r="D26" s="116">
        <f>SUM(B26:C26)</f>
        <v>3800</v>
      </c>
      <c r="E26" s="115">
        <v>501</v>
      </c>
      <c r="F26" s="116">
        <v>858</v>
      </c>
      <c r="G26" s="116">
        <f>SUM(E26:F26)</f>
        <v>1359</v>
      </c>
      <c r="H26" s="115">
        <v>216</v>
      </c>
      <c r="I26" s="116">
        <v>1713</v>
      </c>
      <c r="J26" s="116">
        <f>SUM(H26:I26)</f>
        <v>1929</v>
      </c>
      <c r="K26" s="117">
        <v>216</v>
      </c>
      <c r="L26" s="116">
        <v>634</v>
      </c>
      <c r="M26" s="116">
        <f>SUM(K26:L26)</f>
        <v>850</v>
      </c>
      <c r="N26" s="115">
        <f aca="true" t="shared" si="5" ref="N26:S26">SUM(B26,H26)</f>
        <v>1550</v>
      </c>
      <c r="O26" s="116">
        <f t="shared" si="5"/>
        <v>4179</v>
      </c>
      <c r="P26" s="116">
        <f t="shared" si="5"/>
        <v>5729</v>
      </c>
      <c r="Q26" s="115">
        <f t="shared" si="5"/>
        <v>717</v>
      </c>
      <c r="R26" s="116">
        <f t="shared" si="5"/>
        <v>1492</v>
      </c>
      <c r="S26" s="116">
        <f t="shared" si="5"/>
        <v>2209</v>
      </c>
    </row>
    <row r="27" spans="1:19" ht="12.75">
      <c r="A27" s="3"/>
      <c r="B27" s="11"/>
      <c r="C27" s="12"/>
      <c r="D27" s="12"/>
      <c r="E27" s="11"/>
      <c r="F27" s="12"/>
      <c r="G27" s="12"/>
      <c r="H27" s="11"/>
      <c r="I27" s="12"/>
      <c r="J27" s="12"/>
      <c r="K27" s="11"/>
      <c r="L27" s="12"/>
      <c r="M27" s="12"/>
      <c r="N27" s="11"/>
      <c r="O27" s="12"/>
      <c r="P27" s="12"/>
      <c r="Q27" s="11"/>
      <c r="R27" s="12"/>
      <c r="S27" s="12"/>
    </row>
    <row r="28" spans="1:19" ht="12.75">
      <c r="A28" s="1" t="s">
        <v>13</v>
      </c>
      <c r="B28" s="11"/>
      <c r="C28" s="12"/>
      <c r="D28" s="12"/>
      <c r="E28" s="11"/>
      <c r="F28" s="12"/>
      <c r="G28" s="12"/>
      <c r="H28" s="11"/>
      <c r="I28" s="12"/>
      <c r="J28" s="12"/>
      <c r="K28" s="11"/>
      <c r="L28" s="12"/>
      <c r="M28" s="12"/>
      <c r="N28" s="11"/>
      <c r="O28" s="12"/>
      <c r="P28" s="12"/>
      <c r="Q28" s="11"/>
      <c r="R28" s="12"/>
      <c r="S28" s="12"/>
    </row>
    <row r="29" spans="1:19" s="103" customFormat="1" ht="12.75">
      <c r="A29" s="101" t="s">
        <v>42</v>
      </c>
      <c r="B29" s="115">
        <v>138</v>
      </c>
      <c r="C29" s="116">
        <v>227</v>
      </c>
      <c r="D29" s="116">
        <f>SUM(B29:C29)</f>
        <v>365</v>
      </c>
      <c r="E29" s="115">
        <v>14</v>
      </c>
      <c r="F29" s="116">
        <v>53</v>
      </c>
      <c r="G29" s="116">
        <f>SUM(E29:F29)</f>
        <v>67</v>
      </c>
      <c r="H29" s="115">
        <v>27</v>
      </c>
      <c r="I29" s="116">
        <v>227</v>
      </c>
      <c r="J29" s="116">
        <f>SUM(H29:I29)</f>
        <v>254</v>
      </c>
      <c r="K29" s="117">
        <v>23</v>
      </c>
      <c r="L29" s="116">
        <v>148</v>
      </c>
      <c r="M29" s="116">
        <f>SUM(K29:L29)</f>
        <v>171</v>
      </c>
      <c r="N29" s="115">
        <f aca="true" t="shared" si="6" ref="N29:O32">SUM(B29,H29)</f>
        <v>165</v>
      </c>
      <c r="O29" s="116">
        <f t="shared" si="6"/>
        <v>454</v>
      </c>
      <c r="P29" s="116">
        <f aca="true" t="shared" si="7" ref="P29:R30">SUM(D29,J29)</f>
        <v>619</v>
      </c>
      <c r="Q29" s="115">
        <f t="shared" si="7"/>
        <v>37</v>
      </c>
      <c r="R29" s="116">
        <f t="shared" si="7"/>
        <v>201</v>
      </c>
      <c r="S29" s="116">
        <f>SUM(G29,M29)</f>
        <v>238</v>
      </c>
    </row>
    <row r="30" spans="1:19" s="103" customFormat="1" ht="12.75">
      <c r="A30" s="101" t="s">
        <v>51</v>
      </c>
      <c r="B30" s="115">
        <v>121</v>
      </c>
      <c r="C30" s="116">
        <v>233</v>
      </c>
      <c r="D30" s="116">
        <f>SUM(B30:C30)</f>
        <v>354</v>
      </c>
      <c r="E30" s="115">
        <v>25</v>
      </c>
      <c r="F30" s="116">
        <v>113</v>
      </c>
      <c r="G30" s="116">
        <f>SUM(E30:F30)</f>
        <v>138</v>
      </c>
      <c r="H30" s="115">
        <v>26</v>
      </c>
      <c r="I30" s="116">
        <v>241</v>
      </c>
      <c r="J30" s="116">
        <f>SUM(H30:I30)</f>
        <v>267</v>
      </c>
      <c r="K30" s="117">
        <v>27</v>
      </c>
      <c r="L30" s="116">
        <v>180</v>
      </c>
      <c r="M30" s="116">
        <f>SUM(K30:L30)</f>
        <v>207</v>
      </c>
      <c r="N30" s="115">
        <f t="shared" si="6"/>
        <v>147</v>
      </c>
      <c r="O30" s="116">
        <f t="shared" si="6"/>
        <v>474</v>
      </c>
      <c r="P30" s="116">
        <f t="shared" si="7"/>
        <v>621</v>
      </c>
      <c r="Q30" s="115">
        <f t="shared" si="7"/>
        <v>52</v>
      </c>
      <c r="R30" s="116">
        <f t="shared" si="7"/>
        <v>293</v>
      </c>
      <c r="S30" s="116">
        <f>SUM(G30,M30)</f>
        <v>345</v>
      </c>
    </row>
    <row r="31" spans="1:19" s="103" customFormat="1" ht="12.75">
      <c r="A31" s="101" t="s">
        <v>58</v>
      </c>
      <c r="B31" s="115">
        <v>121</v>
      </c>
      <c r="C31" s="116">
        <v>290</v>
      </c>
      <c r="D31" s="116">
        <f>SUM(B31:C31)</f>
        <v>411</v>
      </c>
      <c r="E31" s="115">
        <v>40</v>
      </c>
      <c r="F31" s="116">
        <v>155</v>
      </c>
      <c r="G31" s="116">
        <f>SUM(E31:F31)</f>
        <v>195</v>
      </c>
      <c r="H31" s="115">
        <v>28</v>
      </c>
      <c r="I31" s="116">
        <v>272</v>
      </c>
      <c r="J31" s="116">
        <f>SUM(H31:I31)</f>
        <v>300</v>
      </c>
      <c r="K31" s="117">
        <v>24</v>
      </c>
      <c r="L31" s="116">
        <v>214</v>
      </c>
      <c r="M31" s="116">
        <f>SUM(K31:L31)</f>
        <v>238</v>
      </c>
      <c r="N31" s="115">
        <f t="shared" si="6"/>
        <v>149</v>
      </c>
      <c r="O31" s="116">
        <f t="shared" si="6"/>
        <v>562</v>
      </c>
      <c r="P31" s="116">
        <f aca="true" t="shared" si="8" ref="P31:R32">SUM(D31,J31)</f>
        <v>711</v>
      </c>
      <c r="Q31" s="115">
        <f t="shared" si="8"/>
        <v>64</v>
      </c>
      <c r="R31" s="116">
        <f t="shared" si="8"/>
        <v>369</v>
      </c>
      <c r="S31" s="116">
        <f>SUM(G31,M31)</f>
        <v>433</v>
      </c>
    </row>
    <row r="32" spans="1:19" s="103" customFormat="1" ht="12.75">
      <c r="A32" s="101" t="s">
        <v>72</v>
      </c>
      <c r="B32" s="115">
        <v>127</v>
      </c>
      <c r="C32" s="116">
        <v>311</v>
      </c>
      <c r="D32" s="116">
        <f>SUM(B32:C32)</f>
        <v>438</v>
      </c>
      <c r="E32" s="115">
        <v>41</v>
      </c>
      <c r="F32" s="116">
        <v>200</v>
      </c>
      <c r="G32" s="116">
        <f>SUM(E32:F32)</f>
        <v>241</v>
      </c>
      <c r="H32" s="115">
        <v>27</v>
      </c>
      <c r="I32" s="116">
        <v>294</v>
      </c>
      <c r="J32" s="116">
        <f>SUM(H32:I32)</f>
        <v>321</v>
      </c>
      <c r="K32" s="117">
        <v>24</v>
      </c>
      <c r="L32" s="116">
        <v>207</v>
      </c>
      <c r="M32" s="116">
        <f>SUM(K32:L32)</f>
        <v>231</v>
      </c>
      <c r="N32" s="115">
        <f t="shared" si="6"/>
        <v>154</v>
      </c>
      <c r="O32" s="116">
        <f t="shared" si="6"/>
        <v>605</v>
      </c>
      <c r="P32" s="116">
        <f t="shared" si="8"/>
        <v>759</v>
      </c>
      <c r="Q32" s="115">
        <f t="shared" si="8"/>
        <v>65</v>
      </c>
      <c r="R32" s="116">
        <f t="shared" si="8"/>
        <v>407</v>
      </c>
      <c r="S32" s="116">
        <f>SUM(G32,M32)</f>
        <v>472</v>
      </c>
    </row>
    <row r="33" spans="1:19" ht="12.75">
      <c r="A33" s="2"/>
      <c r="B33" s="11"/>
      <c r="C33" s="12"/>
      <c r="D33" s="12"/>
      <c r="E33" s="11"/>
      <c r="F33" s="12"/>
      <c r="G33" s="12"/>
      <c r="H33" s="11"/>
      <c r="I33" s="12"/>
      <c r="J33" s="12"/>
      <c r="K33" s="11"/>
      <c r="L33" s="12"/>
      <c r="M33" s="12"/>
      <c r="N33" s="11"/>
      <c r="O33" s="12"/>
      <c r="P33" s="12"/>
      <c r="Q33" s="11"/>
      <c r="R33" s="12"/>
      <c r="S33" s="12"/>
    </row>
    <row r="34" spans="1:19" ht="12.75">
      <c r="A34" s="1" t="s">
        <v>14</v>
      </c>
      <c r="B34" s="11"/>
      <c r="C34" s="12"/>
      <c r="D34" s="12"/>
      <c r="E34" s="11"/>
      <c r="F34" s="12"/>
      <c r="G34" s="12"/>
      <c r="H34" s="11"/>
      <c r="I34" s="12"/>
      <c r="J34" s="12"/>
      <c r="K34" s="11"/>
      <c r="L34" s="12"/>
      <c r="M34" s="12"/>
      <c r="N34" s="11"/>
      <c r="O34" s="12"/>
      <c r="P34" s="12"/>
      <c r="Q34" s="11"/>
      <c r="R34" s="12"/>
      <c r="S34" s="12"/>
    </row>
    <row r="35" spans="1:19" s="103" customFormat="1" ht="12.75">
      <c r="A35" s="101" t="s">
        <v>42</v>
      </c>
      <c r="B35" s="115">
        <f>280+25</f>
        <v>305</v>
      </c>
      <c r="C35" s="116">
        <f>476+40</f>
        <v>516</v>
      </c>
      <c r="D35" s="116">
        <f>SUM(B35:C35)</f>
        <v>821</v>
      </c>
      <c r="E35" s="115">
        <f>143+0</f>
        <v>143</v>
      </c>
      <c r="F35" s="116">
        <f>208+0</f>
        <v>208</v>
      </c>
      <c r="G35" s="116">
        <f>SUM(E35:F35)</f>
        <v>351</v>
      </c>
      <c r="H35" s="115">
        <f>25+9</f>
        <v>34</v>
      </c>
      <c r="I35" s="116">
        <f>252+50</f>
        <v>302</v>
      </c>
      <c r="J35" s="116">
        <f>SUM(H35:I35)</f>
        <v>336</v>
      </c>
      <c r="K35" s="117">
        <f>46+2</f>
        <v>48</v>
      </c>
      <c r="L35" s="116">
        <f>158+4</f>
        <v>162</v>
      </c>
      <c r="M35" s="116">
        <f>SUM(K35:L35)</f>
        <v>210</v>
      </c>
      <c r="N35" s="115">
        <f aca="true" t="shared" si="9" ref="N35:S37">SUM(B35,H35)</f>
        <v>339</v>
      </c>
      <c r="O35" s="116">
        <f t="shared" si="9"/>
        <v>818</v>
      </c>
      <c r="P35" s="116">
        <f t="shared" si="9"/>
        <v>1157</v>
      </c>
      <c r="Q35" s="115">
        <f t="shared" si="9"/>
        <v>191</v>
      </c>
      <c r="R35" s="116">
        <f t="shared" si="9"/>
        <v>370</v>
      </c>
      <c r="S35" s="116">
        <f t="shared" si="9"/>
        <v>561</v>
      </c>
    </row>
    <row r="36" spans="1:19" s="103" customFormat="1" ht="12.75">
      <c r="A36" s="101" t="s">
        <v>51</v>
      </c>
      <c r="B36" s="115">
        <v>329</v>
      </c>
      <c r="C36" s="116">
        <v>521</v>
      </c>
      <c r="D36" s="116">
        <f>SUM(B36:C36)</f>
        <v>850</v>
      </c>
      <c r="E36" s="115">
        <v>187</v>
      </c>
      <c r="F36" s="116">
        <v>257</v>
      </c>
      <c r="G36" s="116">
        <f>SUM(E36:F36)</f>
        <v>444</v>
      </c>
      <c r="H36" s="115">
        <v>41</v>
      </c>
      <c r="I36" s="116">
        <v>353</v>
      </c>
      <c r="J36" s="116">
        <f>SUM(H36:I36)</f>
        <v>394</v>
      </c>
      <c r="K36" s="117">
        <v>32</v>
      </c>
      <c r="L36" s="116">
        <v>120</v>
      </c>
      <c r="M36" s="116">
        <f>SUM(K36:L36)</f>
        <v>152</v>
      </c>
      <c r="N36" s="115">
        <f t="shared" si="9"/>
        <v>370</v>
      </c>
      <c r="O36" s="116">
        <f t="shared" si="9"/>
        <v>874</v>
      </c>
      <c r="P36" s="116">
        <f t="shared" si="9"/>
        <v>1244</v>
      </c>
      <c r="Q36" s="115">
        <f t="shared" si="9"/>
        <v>219</v>
      </c>
      <c r="R36" s="116">
        <f t="shared" si="9"/>
        <v>377</v>
      </c>
      <c r="S36" s="116">
        <f t="shared" si="9"/>
        <v>596</v>
      </c>
    </row>
    <row r="37" spans="1:19" s="103" customFormat="1" ht="12.75">
      <c r="A37" s="101" t="s">
        <v>58</v>
      </c>
      <c r="B37" s="115">
        <v>377</v>
      </c>
      <c r="C37" s="116">
        <v>541</v>
      </c>
      <c r="D37" s="116">
        <f>SUM(B37:C37)</f>
        <v>918</v>
      </c>
      <c r="E37" s="115">
        <v>176</v>
      </c>
      <c r="F37" s="116">
        <v>306</v>
      </c>
      <c r="G37" s="116">
        <f>SUM(E37:F37)</f>
        <v>482</v>
      </c>
      <c r="H37" s="115">
        <v>46</v>
      </c>
      <c r="I37" s="116">
        <v>411</v>
      </c>
      <c r="J37" s="116">
        <f>SUM(H37:I37)</f>
        <v>457</v>
      </c>
      <c r="K37" s="117">
        <v>48</v>
      </c>
      <c r="L37" s="116">
        <v>153</v>
      </c>
      <c r="M37" s="116">
        <f>SUM(K37:L37)</f>
        <v>201</v>
      </c>
      <c r="N37" s="115">
        <f t="shared" si="9"/>
        <v>423</v>
      </c>
      <c r="O37" s="116">
        <f t="shared" si="9"/>
        <v>952</v>
      </c>
      <c r="P37" s="116">
        <f t="shared" si="9"/>
        <v>1375</v>
      </c>
      <c r="Q37" s="115">
        <f t="shared" si="9"/>
        <v>224</v>
      </c>
      <c r="R37" s="116">
        <f t="shared" si="9"/>
        <v>459</v>
      </c>
      <c r="S37" s="116">
        <f t="shared" si="9"/>
        <v>683</v>
      </c>
    </row>
    <row r="38" spans="1:19" s="103" customFormat="1" ht="12.75">
      <c r="A38" s="101" t="s">
        <v>72</v>
      </c>
      <c r="B38" s="115">
        <v>405</v>
      </c>
      <c r="C38" s="116">
        <v>580</v>
      </c>
      <c r="D38" s="116">
        <f>SUM(B38:C38)</f>
        <v>985</v>
      </c>
      <c r="E38" s="115">
        <v>225</v>
      </c>
      <c r="F38" s="116">
        <v>313</v>
      </c>
      <c r="G38" s="116">
        <f>SUM(E38:F38)</f>
        <v>538</v>
      </c>
      <c r="H38" s="115">
        <v>66</v>
      </c>
      <c r="I38" s="116">
        <v>466</v>
      </c>
      <c r="J38" s="116">
        <f>SUM(H38:I38)</f>
        <v>532</v>
      </c>
      <c r="K38" s="117">
        <v>50</v>
      </c>
      <c r="L38" s="116">
        <v>212</v>
      </c>
      <c r="M38" s="116">
        <f>SUM(K38:L38)</f>
        <v>262</v>
      </c>
      <c r="N38" s="115">
        <f aca="true" t="shared" si="10" ref="N38:S38">SUM(B38,H38)</f>
        <v>471</v>
      </c>
      <c r="O38" s="116">
        <f t="shared" si="10"/>
        <v>1046</v>
      </c>
      <c r="P38" s="116">
        <f t="shared" si="10"/>
        <v>1517</v>
      </c>
      <c r="Q38" s="115">
        <f t="shared" si="10"/>
        <v>275</v>
      </c>
      <c r="R38" s="116">
        <f t="shared" si="10"/>
        <v>525</v>
      </c>
      <c r="S38" s="116">
        <f t="shared" si="10"/>
        <v>800</v>
      </c>
    </row>
    <row r="39" spans="1:19" ht="12.75">
      <c r="A39" s="2"/>
      <c r="B39" s="11"/>
      <c r="C39" s="12"/>
      <c r="D39" s="12"/>
      <c r="E39" s="11"/>
      <c r="F39" s="12"/>
      <c r="G39" s="12"/>
      <c r="H39" s="11"/>
      <c r="I39" s="12"/>
      <c r="J39" s="12"/>
      <c r="K39" s="11"/>
      <c r="L39" s="12"/>
      <c r="M39" s="12"/>
      <c r="N39" s="11"/>
      <c r="O39" s="12"/>
      <c r="P39" s="12"/>
      <c r="Q39" s="11"/>
      <c r="R39" s="12"/>
      <c r="S39" s="12"/>
    </row>
    <row r="40" spans="1:19" s="103" customFormat="1" ht="14.25" customHeight="1">
      <c r="A40" s="100" t="s">
        <v>74</v>
      </c>
      <c r="B40" s="115"/>
      <c r="C40" s="116"/>
      <c r="D40" s="116"/>
      <c r="E40" s="115"/>
      <c r="F40" s="116"/>
      <c r="G40" s="116"/>
      <c r="H40" s="115"/>
      <c r="I40" s="116"/>
      <c r="J40" s="116"/>
      <c r="K40" s="115"/>
      <c r="L40" s="116"/>
      <c r="M40" s="116"/>
      <c r="N40" s="115"/>
      <c r="O40" s="116"/>
      <c r="P40" s="116"/>
      <c r="Q40" s="115"/>
      <c r="R40" s="116"/>
      <c r="S40" s="116"/>
    </row>
    <row r="41" spans="1:19" s="103" customFormat="1" ht="14.25" customHeight="1">
      <c r="A41" s="101" t="s">
        <v>72</v>
      </c>
      <c r="B41" s="90">
        <v>0</v>
      </c>
      <c r="C41" s="216">
        <v>0</v>
      </c>
      <c r="D41" s="216">
        <f>SUM(B41,C41)</f>
        <v>0</v>
      </c>
      <c r="E41" s="90">
        <v>4</v>
      </c>
      <c r="F41" s="216">
        <f>12-1</f>
        <v>11</v>
      </c>
      <c r="G41" s="216">
        <f>SUM(E41:F41)</f>
        <v>15</v>
      </c>
      <c r="H41" s="90">
        <v>0</v>
      </c>
      <c r="I41" s="216">
        <v>0</v>
      </c>
      <c r="J41" s="216">
        <f>SUM(H41:I41)</f>
        <v>0</v>
      </c>
      <c r="K41" s="90">
        <v>2</v>
      </c>
      <c r="L41" s="216">
        <v>56</v>
      </c>
      <c r="M41" s="216">
        <f>SUM(K41:L41)</f>
        <v>58</v>
      </c>
      <c r="N41" s="90">
        <f>SUM(B41,H41)</f>
        <v>0</v>
      </c>
      <c r="O41" s="216">
        <f>SUM(C41,I41)</f>
        <v>0</v>
      </c>
      <c r="P41" s="216">
        <f>SUM(N41:O41)</f>
        <v>0</v>
      </c>
      <c r="Q41" s="90">
        <f>SUM(E41,K41)</f>
        <v>6</v>
      </c>
      <c r="R41" s="216">
        <f>SUM(F41,L41)</f>
        <v>67</v>
      </c>
      <c r="S41" s="216">
        <f>SUM(Q41:R41)</f>
        <v>73</v>
      </c>
    </row>
    <row r="42" spans="1:19" ht="12.75">
      <c r="A42" s="2"/>
      <c r="B42" s="11"/>
      <c r="C42" s="12"/>
      <c r="D42" s="12"/>
      <c r="E42" s="11"/>
      <c r="F42" s="12"/>
      <c r="G42" s="12"/>
      <c r="H42" s="11"/>
      <c r="I42" s="12"/>
      <c r="J42" s="12"/>
      <c r="K42" s="11"/>
      <c r="L42" s="12"/>
      <c r="M42" s="12"/>
      <c r="N42" s="11"/>
      <c r="O42" s="12"/>
      <c r="P42" s="12"/>
      <c r="Q42" s="11"/>
      <c r="R42" s="12"/>
      <c r="S42" s="12"/>
    </row>
    <row r="43" spans="1:19" ht="12.75">
      <c r="A43" s="1" t="s">
        <v>62</v>
      </c>
      <c r="B43" s="11"/>
      <c r="C43" s="12"/>
      <c r="D43" s="12"/>
      <c r="E43" s="11"/>
      <c r="F43" s="12"/>
      <c r="G43" s="12"/>
      <c r="H43" s="11"/>
      <c r="I43" s="12"/>
      <c r="J43" s="12"/>
      <c r="K43" s="11"/>
      <c r="L43" s="12"/>
      <c r="M43" s="12"/>
      <c r="N43" s="11"/>
      <c r="O43" s="12"/>
      <c r="P43" s="12"/>
      <c r="Q43" s="11"/>
      <c r="R43" s="12"/>
      <c r="S43" s="12"/>
    </row>
    <row r="44" spans="1:19" s="103" customFormat="1" ht="12.75">
      <c r="A44" s="101" t="s">
        <v>42</v>
      </c>
      <c r="B44" s="115">
        <v>19</v>
      </c>
      <c r="C44" s="116">
        <v>38</v>
      </c>
      <c r="D44" s="116">
        <f>SUM(B44:C44)</f>
        <v>57</v>
      </c>
      <c r="E44" s="115">
        <v>16</v>
      </c>
      <c r="F44" s="116">
        <v>53</v>
      </c>
      <c r="G44" s="116">
        <f>SUM(E44:F44)</f>
        <v>69</v>
      </c>
      <c r="H44" s="115">
        <v>7</v>
      </c>
      <c r="I44" s="116">
        <v>61</v>
      </c>
      <c r="J44" s="116">
        <f>SUM(H44:I44)</f>
        <v>68</v>
      </c>
      <c r="K44" s="117">
        <v>18</v>
      </c>
      <c r="L44" s="116">
        <v>98</v>
      </c>
      <c r="M44" s="116">
        <f>SUM(K44:L44)</f>
        <v>116</v>
      </c>
      <c r="N44" s="115">
        <f aca="true" t="shared" si="11" ref="N44:P47">SUM(B44,H44)</f>
        <v>26</v>
      </c>
      <c r="O44" s="116">
        <f t="shared" si="11"/>
        <v>99</v>
      </c>
      <c r="P44" s="116">
        <f t="shared" si="11"/>
        <v>125</v>
      </c>
      <c r="Q44" s="115">
        <f aca="true" t="shared" si="12" ref="Q44:S45">SUM(E44,K44)</f>
        <v>34</v>
      </c>
      <c r="R44" s="116">
        <f t="shared" si="12"/>
        <v>151</v>
      </c>
      <c r="S44" s="116">
        <f t="shared" si="12"/>
        <v>185</v>
      </c>
    </row>
    <row r="45" spans="1:19" s="103" customFormat="1" ht="12.75">
      <c r="A45" s="101" t="s">
        <v>51</v>
      </c>
      <c r="B45" s="115">
        <v>24</v>
      </c>
      <c r="C45" s="116">
        <v>81</v>
      </c>
      <c r="D45" s="116">
        <f>SUM(B45:C45)</f>
        <v>105</v>
      </c>
      <c r="E45" s="115">
        <v>15</v>
      </c>
      <c r="F45" s="116">
        <v>64</v>
      </c>
      <c r="G45" s="116">
        <f>SUM(E45:F45)</f>
        <v>79</v>
      </c>
      <c r="H45" s="115">
        <v>7</v>
      </c>
      <c r="I45" s="116">
        <v>68</v>
      </c>
      <c r="J45" s="116">
        <f>SUM(H45:I45)</f>
        <v>75</v>
      </c>
      <c r="K45" s="117">
        <v>15</v>
      </c>
      <c r="L45" s="116">
        <v>98</v>
      </c>
      <c r="M45" s="116">
        <f>SUM(K45:L45)</f>
        <v>113</v>
      </c>
      <c r="N45" s="115">
        <f t="shared" si="11"/>
        <v>31</v>
      </c>
      <c r="O45" s="116">
        <f t="shared" si="11"/>
        <v>149</v>
      </c>
      <c r="P45" s="116">
        <f t="shared" si="11"/>
        <v>180</v>
      </c>
      <c r="Q45" s="115">
        <f t="shared" si="12"/>
        <v>30</v>
      </c>
      <c r="R45" s="116">
        <f t="shared" si="12"/>
        <v>162</v>
      </c>
      <c r="S45" s="116">
        <f t="shared" si="12"/>
        <v>192</v>
      </c>
    </row>
    <row r="46" spans="1:19" s="103" customFormat="1" ht="12.75">
      <c r="A46" s="101" t="s">
        <v>58</v>
      </c>
      <c r="B46" s="115">
        <v>33</v>
      </c>
      <c r="C46" s="116">
        <v>114</v>
      </c>
      <c r="D46" s="116">
        <f>SUM(B46:C46)</f>
        <v>147</v>
      </c>
      <c r="E46" s="115">
        <v>12</v>
      </c>
      <c r="F46" s="116">
        <v>45</v>
      </c>
      <c r="G46" s="116">
        <f>SUM(E46:F46)</f>
        <v>57</v>
      </c>
      <c r="H46" s="115">
        <v>7</v>
      </c>
      <c r="I46" s="116">
        <v>101</v>
      </c>
      <c r="J46" s="116">
        <f>SUM(H46:I46)</f>
        <v>108</v>
      </c>
      <c r="K46" s="117">
        <v>17</v>
      </c>
      <c r="L46" s="116">
        <v>86</v>
      </c>
      <c r="M46" s="116">
        <f>SUM(K46:L46)</f>
        <v>103</v>
      </c>
      <c r="N46" s="115">
        <f t="shared" si="11"/>
        <v>40</v>
      </c>
      <c r="O46" s="116">
        <f t="shared" si="11"/>
        <v>215</v>
      </c>
      <c r="P46" s="116">
        <f t="shared" si="11"/>
        <v>255</v>
      </c>
      <c r="Q46" s="115">
        <f aca="true" t="shared" si="13" ref="Q46:S47">SUM(E46,K46)</f>
        <v>29</v>
      </c>
      <c r="R46" s="116">
        <f t="shared" si="13"/>
        <v>131</v>
      </c>
      <c r="S46" s="116">
        <f t="shared" si="13"/>
        <v>160</v>
      </c>
    </row>
    <row r="47" spans="1:19" s="103" customFormat="1" ht="12.75">
      <c r="A47" s="101" t="s">
        <v>72</v>
      </c>
      <c r="B47" s="115">
        <v>38</v>
      </c>
      <c r="C47" s="116">
        <v>141</v>
      </c>
      <c r="D47" s="116">
        <f>SUM(B47:C47)</f>
        <v>179</v>
      </c>
      <c r="E47" s="115">
        <v>40</v>
      </c>
      <c r="F47" s="116">
        <v>111</v>
      </c>
      <c r="G47" s="116">
        <f>SUM(E47:F47)</f>
        <v>151</v>
      </c>
      <c r="H47" s="115">
        <v>6</v>
      </c>
      <c r="I47" s="116">
        <v>113</v>
      </c>
      <c r="J47" s="116">
        <f>SUM(H47:I47)</f>
        <v>119</v>
      </c>
      <c r="K47" s="117">
        <v>32</v>
      </c>
      <c r="L47" s="116">
        <v>98</v>
      </c>
      <c r="M47" s="116">
        <f>SUM(K47:L47)</f>
        <v>130</v>
      </c>
      <c r="N47" s="115">
        <f t="shared" si="11"/>
        <v>44</v>
      </c>
      <c r="O47" s="116">
        <f t="shared" si="11"/>
        <v>254</v>
      </c>
      <c r="P47" s="116">
        <f t="shared" si="11"/>
        <v>298</v>
      </c>
      <c r="Q47" s="115">
        <f t="shared" si="13"/>
        <v>72</v>
      </c>
      <c r="R47" s="116">
        <f t="shared" si="13"/>
        <v>209</v>
      </c>
      <c r="S47" s="116">
        <f t="shared" si="13"/>
        <v>281</v>
      </c>
    </row>
    <row r="48" spans="1:19" ht="12.75">
      <c r="A48" s="2"/>
      <c r="B48" s="11"/>
      <c r="C48" s="12"/>
      <c r="D48" s="12"/>
      <c r="E48" s="13"/>
      <c r="F48" s="12"/>
      <c r="G48" s="12"/>
      <c r="H48" s="11"/>
      <c r="I48" s="12"/>
      <c r="J48" s="12"/>
      <c r="K48" s="11"/>
      <c r="L48" s="12"/>
      <c r="M48" s="12"/>
      <c r="N48" s="11"/>
      <c r="O48" s="12"/>
      <c r="P48" s="12"/>
      <c r="Q48" s="11"/>
      <c r="R48" s="12"/>
      <c r="S48" s="12"/>
    </row>
    <row r="49" spans="1:19" ht="12.75">
      <c r="A49" s="1" t="s">
        <v>63</v>
      </c>
      <c r="B49" s="11"/>
      <c r="C49" s="12"/>
      <c r="D49" s="12"/>
      <c r="E49" s="11"/>
      <c r="F49" s="12"/>
      <c r="G49" s="12"/>
      <c r="H49" s="11"/>
      <c r="I49" s="12"/>
      <c r="J49" s="12"/>
      <c r="K49" s="11"/>
      <c r="L49" s="12"/>
      <c r="M49" s="12"/>
      <c r="N49" s="11"/>
      <c r="O49" s="12"/>
      <c r="P49" s="12"/>
      <c r="Q49" s="11"/>
      <c r="R49" s="12"/>
      <c r="S49" s="12"/>
    </row>
    <row r="50" spans="1:19" s="103" customFormat="1" ht="12.75">
      <c r="A50" s="101" t="s">
        <v>42</v>
      </c>
      <c r="B50" s="115">
        <v>0</v>
      </c>
      <c r="C50" s="116">
        <v>4</v>
      </c>
      <c r="D50" s="116">
        <f>SUM(B50:C50)</f>
        <v>4</v>
      </c>
      <c r="E50" s="115">
        <v>3</v>
      </c>
      <c r="F50" s="116">
        <v>5</v>
      </c>
      <c r="G50" s="116">
        <f>SUM(E50:F50)</f>
        <v>8</v>
      </c>
      <c r="H50" s="115">
        <v>1</v>
      </c>
      <c r="I50" s="116">
        <v>3</v>
      </c>
      <c r="J50" s="116">
        <f>SUM(H50:I50)</f>
        <v>4</v>
      </c>
      <c r="K50" s="117">
        <v>0</v>
      </c>
      <c r="L50" s="116">
        <v>9</v>
      </c>
      <c r="M50" s="116">
        <f>SUM(K50:L50)</f>
        <v>9</v>
      </c>
      <c r="N50" s="115">
        <f aca="true" t="shared" si="14" ref="N50:O53">SUM(B50,H50)</f>
        <v>1</v>
      </c>
      <c r="O50" s="116">
        <f t="shared" si="14"/>
        <v>7</v>
      </c>
      <c r="P50" s="116">
        <f aca="true" t="shared" si="15" ref="P50:R51">SUM(D50,J50)</f>
        <v>8</v>
      </c>
      <c r="Q50" s="115">
        <f t="shared" si="15"/>
        <v>3</v>
      </c>
      <c r="R50" s="116">
        <f t="shared" si="15"/>
        <v>14</v>
      </c>
      <c r="S50" s="116">
        <f>SUM(G50,M50)</f>
        <v>17</v>
      </c>
    </row>
    <row r="51" spans="1:19" s="103" customFormat="1" ht="12.75">
      <c r="A51" s="101" t="s">
        <v>51</v>
      </c>
      <c r="B51" s="115">
        <v>2</v>
      </c>
      <c r="C51" s="116">
        <v>7</v>
      </c>
      <c r="D51" s="116">
        <f>SUM(B51:C51)</f>
        <v>9</v>
      </c>
      <c r="E51" s="115">
        <v>1</v>
      </c>
      <c r="F51" s="116">
        <v>9</v>
      </c>
      <c r="G51" s="116">
        <f>SUM(E51:F51)</f>
        <v>10</v>
      </c>
      <c r="H51" s="115">
        <v>0</v>
      </c>
      <c r="I51" s="116">
        <v>5</v>
      </c>
      <c r="J51" s="116">
        <f>SUM(H51:I51)</f>
        <v>5</v>
      </c>
      <c r="K51" s="117">
        <v>1</v>
      </c>
      <c r="L51" s="116">
        <v>8</v>
      </c>
      <c r="M51" s="116">
        <f>SUM(K51:L51)</f>
        <v>9</v>
      </c>
      <c r="N51" s="115">
        <f t="shared" si="14"/>
        <v>2</v>
      </c>
      <c r="O51" s="116">
        <f t="shared" si="14"/>
        <v>12</v>
      </c>
      <c r="P51" s="116">
        <f t="shared" si="15"/>
        <v>14</v>
      </c>
      <c r="Q51" s="115">
        <f t="shared" si="15"/>
        <v>2</v>
      </c>
      <c r="R51" s="116">
        <f t="shared" si="15"/>
        <v>17</v>
      </c>
      <c r="S51" s="116">
        <f>SUM(G51,M51)</f>
        <v>19</v>
      </c>
    </row>
    <row r="52" spans="1:19" s="103" customFormat="1" ht="12.75">
      <c r="A52" s="101" t="s">
        <v>58</v>
      </c>
      <c r="B52" s="115">
        <v>2</v>
      </c>
      <c r="C52" s="116">
        <v>8</v>
      </c>
      <c r="D52" s="116">
        <f>SUM(B52:C52)</f>
        <v>10</v>
      </c>
      <c r="E52" s="115">
        <v>2</v>
      </c>
      <c r="F52" s="116">
        <v>5</v>
      </c>
      <c r="G52" s="116">
        <f>SUM(E52:F52)</f>
        <v>7</v>
      </c>
      <c r="H52" s="115">
        <v>0</v>
      </c>
      <c r="I52" s="116">
        <v>10</v>
      </c>
      <c r="J52" s="116">
        <f>SUM(H52:I52)</f>
        <v>10</v>
      </c>
      <c r="K52" s="117">
        <v>2</v>
      </c>
      <c r="L52" s="116">
        <v>8</v>
      </c>
      <c r="M52" s="116">
        <f>SUM(K52:L52)</f>
        <v>10</v>
      </c>
      <c r="N52" s="115">
        <f t="shared" si="14"/>
        <v>2</v>
      </c>
      <c r="O52" s="116">
        <f t="shared" si="14"/>
        <v>18</v>
      </c>
      <c r="P52" s="116">
        <f aca="true" t="shared" si="16" ref="P52:R53">SUM(D52,J52)</f>
        <v>20</v>
      </c>
      <c r="Q52" s="115">
        <f t="shared" si="16"/>
        <v>4</v>
      </c>
      <c r="R52" s="116">
        <f t="shared" si="16"/>
        <v>13</v>
      </c>
      <c r="S52" s="116">
        <f>SUM(G52,M52)</f>
        <v>17</v>
      </c>
    </row>
    <row r="53" spans="1:19" s="103" customFormat="1" ht="12.75">
      <c r="A53" s="101" t="s">
        <v>72</v>
      </c>
      <c r="B53" s="115">
        <v>4</v>
      </c>
      <c r="C53" s="116">
        <v>11</v>
      </c>
      <c r="D53" s="116">
        <f>SUM(B53:C53)</f>
        <v>15</v>
      </c>
      <c r="E53" s="115">
        <v>3</v>
      </c>
      <c r="F53" s="116">
        <v>5</v>
      </c>
      <c r="G53" s="116">
        <f>SUM(E53:F53)</f>
        <v>8</v>
      </c>
      <c r="H53" s="115">
        <v>0</v>
      </c>
      <c r="I53" s="116">
        <v>8</v>
      </c>
      <c r="J53" s="116">
        <f>SUM(H53:I53)</f>
        <v>8</v>
      </c>
      <c r="K53" s="117">
        <v>3</v>
      </c>
      <c r="L53" s="116">
        <v>13</v>
      </c>
      <c r="M53" s="116">
        <f>SUM(K53:L53)</f>
        <v>16</v>
      </c>
      <c r="N53" s="115">
        <f t="shared" si="14"/>
        <v>4</v>
      </c>
      <c r="O53" s="116">
        <f t="shared" si="14"/>
        <v>19</v>
      </c>
      <c r="P53" s="116">
        <f t="shared" si="16"/>
        <v>23</v>
      </c>
      <c r="Q53" s="115">
        <f t="shared" si="16"/>
        <v>6</v>
      </c>
      <c r="R53" s="116">
        <f t="shared" si="16"/>
        <v>18</v>
      </c>
      <c r="S53" s="116">
        <f>SUM(G53,M53)</f>
        <v>24</v>
      </c>
    </row>
    <row r="54" spans="1:19" ht="12.75">
      <c r="A54" s="2"/>
      <c r="B54" s="11"/>
      <c r="C54" s="18"/>
      <c r="D54" s="12"/>
      <c r="E54" s="11"/>
      <c r="F54" s="18"/>
      <c r="G54" s="12"/>
      <c r="H54" s="11"/>
      <c r="I54" s="12"/>
      <c r="J54" s="12"/>
      <c r="K54" s="11"/>
      <c r="L54" s="12"/>
      <c r="M54" s="12"/>
      <c r="N54" s="11"/>
      <c r="O54" s="12"/>
      <c r="P54" s="12"/>
      <c r="Q54" s="11"/>
      <c r="R54" s="12"/>
      <c r="S54" s="12"/>
    </row>
    <row r="55" spans="1:19" ht="12.75">
      <c r="A55" s="1" t="s">
        <v>15</v>
      </c>
      <c r="B55" s="11"/>
      <c r="C55" s="12"/>
      <c r="D55" s="12"/>
      <c r="E55" s="11"/>
      <c r="F55" s="12"/>
      <c r="G55" s="12"/>
      <c r="H55" s="11"/>
      <c r="I55" s="12"/>
      <c r="J55" s="12"/>
      <c r="K55" s="11"/>
      <c r="L55" s="12"/>
      <c r="M55" s="12"/>
      <c r="N55" s="11"/>
      <c r="O55" s="12"/>
      <c r="P55" s="12"/>
      <c r="Q55" s="11"/>
      <c r="R55" s="12"/>
      <c r="S55" s="12"/>
    </row>
    <row r="56" spans="1:19" s="103" customFormat="1" ht="12.75">
      <c r="A56" s="101" t="s">
        <v>42</v>
      </c>
      <c r="B56" s="115">
        <v>12</v>
      </c>
      <c r="C56" s="116">
        <v>13</v>
      </c>
      <c r="D56" s="116">
        <f>SUM(B56:C56)</f>
        <v>25</v>
      </c>
      <c r="E56" s="115">
        <v>2</v>
      </c>
      <c r="F56" s="116">
        <v>3</v>
      </c>
      <c r="G56" s="116">
        <f>SUM(E56:F56)</f>
        <v>5</v>
      </c>
      <c r="H56" s="115">
        <v>20</v>
      </c>
      <c r="I56" s="116">
        <v>95</v>
      </c>
      <c r="J56" s="116">
        <f>SUM(H56:I56)</f>
        <v>115</v>
      </c>
      <c r="K56" s="117">
        <v>21</v>
      </c>
      <c r="L56" s="116">
        <v>54</v>
      </c>
      <c r="M56" s="116">
        <f>SUM(K56:L56)</f>
        <v>75</v>
      </c>
      <c r="N56" s="115">
        <f aca="true" t="shared" si="17" ref="N56:S58">SUM(B56,H56)</f>
        <v>32</v>
      </c>
      <c r="O56" s="116">
        <f t="shared" si="17"/>
        <v>108</v>
      </c>
      <c r="P56" s="116">
        <f t="shared" si="17"/>
        <v>140</v>
      </c>
      <c r="Q56" s="115">
        <f t="shared" si="17"/>
        <v>23</v>
      </c>
      <c r="R56" s="116">
        <f t="shared" si="17"/>
        <v>57</v>
      </c>
      <c r="S56" s="116">
        <f t="shared" si="17"/>
        <v>80</v>
      </c>
    </row>
    <row r="57" spans="1:19" s="103" customFormat="1" ht="12.75">
      <c r="A57" s="101" t="s">
        <v>51</v>
      </c>
      <c r="B57" s="115">
        <v>12</v>
      </c>
      <c r="C57" s="116">
        <v>14</v>
      </c>
      <c r="D57" s="116">
        <f>SUM(B57:C57)</f>
        <v>26</v>
      </c>
      <c r="E57" s="115">
        <v>2</v>
      </c>
      <c r="F57" s="116">
        <v>2</v>
      </c>
      <c r="G57" s="116">
        <f>SUM(E57:F57)</f>
        <v>4</v>
      </c>
      <c r="H57" s="115">
        <v>25</v>
      </c>
      <c r="I57" s="116">
        <v>96</v>
      </c>
      <c r="J57" s="116">
        <f>SUM(H57:I57)</f>
        <v>121</v>
      </c>
      <c r="K57" s="117">
        <v>26</v>
      </c>
      <c r="L57" s="116">
        <v>54</v>
      </c>
      <c r="M57" s="116">
        <f>SUM(K57:L57)</f>
        <v>80</v>
      </c>
      <c r="N57" s="115">
        <f t="shared" si="17"/>
        <v>37</v>
      </c>
      <c r="O57" s="116">
        <f t="shared" si="17"/>
        <v>110</v>
      </c>
      <c r="P57" s="116">
        <f t="shared" si="17"/>
        <v>147</v>
      </c>
      <c r="Q57" s="115">
        <f t="shared" si="17"/>
        <v>28</v>
      </c>
      <c r="R57" s="116">
        <f t="shared" si="17"/>
        <v>56</v>
      </c>
      <c r="S57" s="116">
        <f t="shared" si="17"/>
        <v>84</v>
      </c>
    </row>
    <row r="58" spans="1:19" s="103" customFormat="1" ht="12.75">
      <c r="A58" s="101" t="s">
        <v>58</v>
      </c>
      <c r="B58" s="115">
        <v>12</v>
      </c>
      <c r="C58" s="116">
        <v>15</v>
      </c>
      <c r="D58" s="116">
        <f>SUM(B58:C58)</f>
        <v>27</v>
      </c>
      <c r="E58" s="115">
        <v>0</v>
      </c>
      <c r="F58" s="116">
        <v>2</v>
      </c>
      <c r="G58" s="116">
        <f>SUM(E58:F58)</f>
        <v>2</v>
      </c>
      <c r="H58" s="115">
        <v>23</v>
      </c>
      <c r="I58" s="116">
        <v>110</v>
      </c>
      <c r="J58" s="116">
        <f>SUM(H58:I58)</f>
        <v>133</v>
      </c>
      <c r="K58" s="117">
        <v>25</v>
      </c>
      <c r="L58" s="116">
        <v>59</v>
      </c>
      <c r="M58" s="116">
        <f>SUM(K58:L58)</f>
        <v>84</v>
      </c>
      <c r="N58" s="115">
        <f t="shared" si="17"/>
        <v>35</v>
      </c>
      <c r="O58" s="116">
        <f t="shared" si="17"/>
        <v>125</v>
      </c>
      <c r="P58" s="116">
        <f t="shared" si="17"/>
        <v>160</v>
      </c>
      <c r="Q58" s="115">
        <f t="shared" si="17"/>
        <v>25</v>
      </c>
      <c r="R58" s="116">
        <f t="shared" si="17"/>
        <v>61</v>
      </c>
      <c r="S58" s="116">
        <f t="shared" si="17"/>
        <v>86</v>
      </c>
    </row>
    <row r="59" spans="1:19" s="103" customFormat="1" ht="12.75">
      <c r="A59" s="101" t="s">
        <v>72</v>
      </c>
      <c r="B59" s="115">
        <v>15</v>
      </c>
      <c r="C59" s="116">
        <v>28</v>
      </c>
      <c r="D59" s="116">
        <f>SUM(B59:C59)</f>
        <v>43</v>
      </c>
      <c r="E59" s="115">
        <v>4</v>
      </c>
      <c r="F59" s="116">
        <v>3</v>
      </c>
      <c r="G59" s="116">
        <f>SUM(E59:F59)</f>
        <v>7</v>
      </c>
      <c r="H59" s="115">
        <v>25</v>
      </c>
      <c r="I59" s="116">
        <v>118</v>
      </c>
      <c r="J59" s="116">
        <f>SUM(H59:I59)</f>
        <v>143</v>
      </c>
      <c r="K59" s="117">
        <v>35</v>
      </c>
      <c r="L59" s="116">
        <v>100</v>
      </c>
      <c r="M59" s="116">
        <f>SUM(K59:L59)</f>
        <v>135</v>
      </c>
      <c r="N59" s="115">
        <f aca="true" t="shared" si="18" ref="N59:S59">SUM(B59,H59)</f>
        <v>40</v>
      </c>
      <c r="O59" s="116">
        <f t="shared" si="18"/>
        <v>146</v>
      </c>
      <c r="P59" s="116">
        <f t="shared" si="18"/>
        <v>186</v>
      </c>
      <c r="Q59" s="115">
        <f t="shared" si="18"/>
        <v>39</v>
      </c>
      <c r="R59" s="116">
        <f t="shared" si="18"/>
        <v>103</v>
      </c>
      <c r="S59" s="116">
        <f t="shared" si="18"/>
        <v>142</v>
      </c>
    </row>
    <row r="60" spans="1:19" ht="12.75">
      <c r="A60" s="19"/>
      <c r="B60" s="23"/>
      <c r="C60" s="24"/>
      <c r="D60" s="24"/>
      <c r="E60" s="23"/>
      <c r="F60" s="24"/>
      <c r="G60" s="24"/>
      <c r="H60" s="23"/>
      <c r="I60" s="24"/>
      <c r="J60" s="24"/>
      <c r="K60" s="23"/>
      <c r="L60" s="24"/>
      <c r="M60" s="24"/>
      <c r="N60" s="23"/>
      <c r="O60" s="24"/>
      <c r="P60" s="24"/>
      <c r="Q60" s="23"/>
      <c r="R60" s="24"/>
      <c r="S60" s="24"/>
    </row>
    <row r="61" spans="1:19" ht="12.75">
      <c r="A61" s="1" t="s">
        <v>45</v>
      </c>
      <c r="B61" s="11"/>
      <c r="C61" s="12"/>
      <c r="D61" s="12"/>
      <c r="E61" s="11"/>
      <c r="F61" s="12"/>
      <c r="G61" s="12"/>
      <c r="H61" s="11"/>
      <c r="I61" s="12"/>
      <c r="J61" s="12"/>
      <c r="K61" s="11"/>
      <c r="L61" s="12"/>
      <c r="M61" s="12"/>
      <c r="N61" s="11"/>
      <c r="O61" s="12"/>
      <c r="P61" s="12"/>
      <c r="Q61" s="11"/>
      <c r="R61" s="12"/>
      <c r="S61" s="12"/>
    </row>
    <row r="62" spans="1:19" s="103" customFormat="1" ht="12.75">
      <c r="A62" s="101" t="s">
        <v>42</v>
      </c>
      <c r="B62" s="115">
        <f>(638+331)-(25+52)</f>
        <v>892</v>
      </c>
      <c r="C62" s="116">
        <f>(729+152)-(40+66)</f>
        <v>775</v>
      </c>
      <c r="D62" s="116">
        <f>SUM(B62:C62)</f>
        <v>1667</v>
      </c>
      <c r="E62" s="115">
        <f>(72+2)-(0+0)</f>
        <v>74</v>
      </c>
      <c r="F62" s="116">
        <f>(259+3)-(0+0)</f>
        <v>262</v>
      </c>
      <c r="G62" s="116">
        <f>SUM(E62:F62)</f>
        <v>336</v>
      </c>
      <c r="H62" s="115">
        <f>(89+34)-(9+21)</f>
        <v>93</v>
      </c>
      <c r="I62" s="116">
        <f>(615+50)-(50+43)</f>
        <v>572</v>
      </c>
      <c r="J62" s="116">
        <f>SUM(H62:I62)</f>
        <v>665</v>
      </c>
      <c r="K62" s="117">
        <f>(116+4)-(2+2)</f>
        <v>116</v>
      </c>
      <c r="L62" s="116">
        <f>(955+9)-(4+8)</f>
        <v>952</v>
      </c>
      <c r="M62" s="116">
        <f>SUM(K62:L62)</f>
        <v>1068</v>
      </c>
      <c r="N62" s="115">
        <f>SUM(B62,H62)</f>
        <v>985</v>
      </c>
      <c r="O62" s="116">
        <f aca="true" t="shared" si="19" ref="O62:S63">SUM(C62,I62)</f>
        <v>1347</v>
      </c>
      <c r="P62" s="116">
        <f t="shared" si="19"/>
        <v>2332</v>
      </c>
      <c r="Q62" s="115">
        <f t="shared" si="19"/>
        <v>190</v>
      </c>
      <c r="R62" s="116">
        <f t="shared" si="19"/>
        <v>1214</v>
      </c>
      <c r="S62" s="116">
        <f t="shared" si="19"/>
        <v>1404</v>
      </c>
    </row>
    <row r="63" spans="1:19" s="103" customFormat="1" ht="12.75">
      <c r="A63" s="101" t="s">
        <v>51</v>
      </c>
      <c r="B63" s="115">
        <v>825</v>
      </c>
      <c r="C63" s="116">
        <v>869</v>
      </c>
      <c r="D63" s="116">
        <f>SUM(B63:C63)</f>
        <v>1694</v>
      </c>
      <c r="E63" s="115">
        <v>169</v>
      </c>
      <c r="F63" s="116">
        <v>633</v>
      </c>
      <c r="G63" s="116">
        <f>SUM(E63:F63)</f>
        <v>802</v>
      </c>
      <c r="H63" s="115">
        <v>157</v>
      </c>
      <c r="I63" s="116">
        <v>1097</v>
      </c>
      <c r="J63" s="116">
        <f>SUM(H63:I63)</f>
        <v>1254</v>
      </c>
      <c r="K63" s="117">
        <v>68</v>
      </c>
      <c r="L63" s="116">
        <v>588</v>
      </c>
      <c r="M63" s="116">
        <f>SUM(K63:L63)</f>
        <v>656</v>
      </c>
      <c r="N63" s="115">
        <f>SUM(B63,H63)</f>
        <v>982</v>
      </c>
      <c r="O63" s="116">
        <f t="shared" si="19"/>
        <v>1966</v>
      </c>
      <c r="P63" s="116">
        <f t="shared" si="19"/>
        <v>2948</v>
      </c>
      <c r="Q63" s="115">
        <f t="shared" si="19"/>
        <v>237</v>
      </c>
      <c r="R63" s="116">
        <f t="shared" si="19"/>
        <v>1221</v>
      </c>
      <c r="S63" s="116">
        <f t="shared" si="19"/>
        <v>1458</v>
      </c>
    </row>
    <row r="64" spans="1:19" s="103" customFormat="1" ht="12.75">
      <c r="A64" s="101" t="s">
        <v>58</v>
      </c>
      <c r="B64" s="115">
        <v>756</v>
      </c>
      <c r="C64" s="116">
        <v>987</v>
      </c>
      <c r="D64" s="116">
        <f>SUM(B64:C64)</f>
        <v>1743</v>
      </c>
      <c r="E64" s="115">
        <v>145</v>
      </c>
      <c r="F64" s="116">
        <v>603</v>
      </c>
      <c r="G64" s="116">
        <f>SUM(E64:F64)</f>
        <v>748</v>
      </c>
      <c r="H64" s="115">
        <v>151</v>
      </c>
      <c r="I64" s="116">
        <v>1390</v>
      </c>
      <c r="J64" s="116">
        <f>SUM(H64:I64)</f>
        <v>1541</v>
      </c>
      <c r="K64" s="117">
        <v>53</v>
      </c>
      <c r="L64" s="116">
        <v>662</v>
      </c>
      <c r="M64" s="116">
        <f>SUM(K64:L64)</f>
        <v>715</v>
      </c>
      <c r="N64" s="115">
        <f>SUM(B64,H64)</f>
        <v>907</v>
      </c>
      <c r="O64" s="116">
        <f aca="true" t="shared" si="20" ref="O64:S65">SUM(C64,I64)</f>
        <v>2377</v>
      </c>
      <c r="P64" s="116">
        <f t="shared" si="20"/>
        <v>3284</v>
      </c>
      <c r="Q64" s="115">
        <f t="shared" si="20"/>
        <v>198</v>
      </c>
      <c r="R64" s="116">
        <f t="shared" si="20"/>
        <v>1265</v>
      </c>
      <c r="S64" s="116">
        <f t="shared" si="20"/>
        <v>1463</v>
      </c>
    </row>
    <row r="65" spans="1:19" s="103" customFormat="1" ht="12.75">
      <c r="A65" s="101" t="s">
        <v>72</v>
      </c>
      <c r="B65" s="115">
        <v>870</v>
      </c>
      <c r="C65" s="116">
        <v>1492</v>
      </c>
      <c r="D65" s="116">
        <f>SUM(B65:C65)</f>
        <v>2362</v>
      </c>
      <c r="E65" s="115">
        <v>252</v>
      </c>
      <c r="F65" s="116">
        <v>791</v>
      </c>
      <c r="G65" s="116">
        <f>SUM(E65:F65)</f>
        <v>1043</v>
      </c>
      <c r="H65" s="115">
        <v>174</v>
      </c>
      <c r="I65" s="116">
        <v>1582</v>
      </c>
      <c r="J65" s="116">
        <f>SUM(H65:I65)</f>
        <v>1756</v>
      </c>
      <c r="K65" s="117">
        <v>103</v>
      </c>
      <c r="L65" s="116">
        <v>819</v>
      </c>
      <c r="M65" s="116">
        <f>SUM(K65:L65)</f>
        <v>922</v>
      </c>
      <c r="N65" s="115">
        <f>SUM(B65,H65)</f>
        <v>1044</v>
      </c>
      <c r="O65" s="116">
        <f t="shared" si="20"/>
        <v>3074</v>
      </c>
      <c r="P65" s="116">
        <f t="shared" si="20"/>
        <v>4118</v>
      </c>
      <c r="Q65" s="115">
        <f t="shared" si="20"/>
        <v>355</v>
      </c>
      <c r="R65" s="116">
        <f t="shared" si="20"/>
        <v>1610</v>
      </c>
      <c r="S65" s="116">
        <f t="shared" si="20"/>
        <v>1965</v>
      </c>
    </row>
    <row r="66" ht="12.75" customHeight="1"/>
    <row r="67" spans="1:19" s="103" customFormat="1" ht="12.75">
      <c r="A67" s="198" t="s">
        <v>46</v>
      </c>
      <c r="B67" s="176"/>
      <c r="C67" s="116"/>
      <c r="D67" s="116"/>
      <c r="E67" s="176"/>
      <c r="F67" s="116"/>
      <c r="G67" s="116"/>
      <c r="H67" s="176"/>
      <c r="I67" s="116"/>
      <c r="J67" s="116"/>
      <c r="K67" s="177"/>
      <c r="L67" s="116"/>
      <c r="M67" s="116"/>
      <c r="N67" s="176"/>
      <c r="O67" s="116"/>
      <c r="P67" s="116"/>
      <c r="Q67" s="176"/>
      <c r="R67" s="116"/>
      <c r="S67" s="116"/>
    </row>
    <row r="68" spans="1:19" s="103" customFormat="1" ht="12.75">
      <c r="A68" s="198" t="s">
        <v>47</v>
      </c>
      <c r="B68" s="176"/>
      <c r="C68" s="116"/>
      <c r="D68" s="116"/>
      <c r="E68" s="176"/>
      <c r="F68" s="116"/>
      <c r="G68" s="116"/>
      <c r="H68" s="176"/>
      <c r="I68" s="116"/>
      <c r="J68" s="116"/>
      <c r="K68" s="177"/>
      <c r="L68" s="116"/>
      <c r="M68" s="116"/>
      <c r="N68" s="176"/>
      <c r="O68" s="116"/>
      <c r="P68" s="116"/>
      <c r="Q68" s="176"/>
      <c r="R68" s="116"/>
      <c r="S68" s="116"/>
    </row>
    <row r="69" spans="1:19" s="103" customFormat="1" ht="12.75">
      <c r="A69" s="198" t="s">
        <v>64</v>
      </c>
      <c r="B69" s="176"/>
      <c r="C69" s="116"/>
      <c r="D69" s="116"/>
      <c r="E69" s="176"/>
      <c r="F69" s="116"/>
      <c r="G69" s="116"/>
      <c r="H69" s="176"/>
      <c r="I69" s="116"/>
      <c r="J69" s="116"/>
      <c r="K69" s="177"/>
      <c r="L69" s="116"/>
      <c r="M69" s="116"/>
      <c r="N69" s="176"/>
      <c r="O69" s="116"/>
      <c r="P69" s="116"/>
      <c r="Q69" s="176"/>
      <c r="R69" s="116"/>
      <c r="S69" s="116"/>
    </row>
    <row r="70" spans="1:19" ht="12.75">
      <c r="A70" s="199" t="s">
        <v>24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</sheetData>
  <sheetProtection/>
  <printOptions horizontalCentered="1"/>
  <pageMargins left="0" right="0" top="0.3937007874015748" bottom="0.1968503937007874" header="0.5118110236220472" footer="0.5118110236220472"/>
  <pageSetup horizontalDpi="300" verticalDpi="300" orientation="landscape" paperSize="9" scale="63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J74" sqref="J74"/>
    </sheetView>
  </sheetViews>
  <sheetFormatPr defaultColWidth="9.140625" defaultRowHeight="12.75"/>
  <cols>
    <col min="1" max="1" width="32.140625" style="140" customWidth="1"/>
    <col min="2" max="9" width="9.421875" style="140" customWidth="1"/>
    <col min="10" max="16384" width="9.140625" style="140" customWidth="1"/>
  </cols>
  <sheetData>
    <row r="1" ht="12.75">
      <c r="A1" s="139" t="s">
        <v>65</v>
      </c>
    </row>
    <row r="2" spans="1:9" ht="12.75">
      <c r="A2" s="142" t="s">
        <v>23</v>
      </c>
      <c r="B2" s="143"/>
      <c r="C2" s="143"/>
      <c r="D2" s="143"/>
      <c r="E2" s="143"/>
      <c r="F2" s="143"/>
      <c r="G2" s="143"/>
      <c r="H2" s="143"/>
      <c r="I2" s="143"/>
    </row>
    <row r="3" spans="1:9" ht="12.75">
      <c r="A3" s="144"/>
      <c r="B3" s="145"/>
      <c r="C3" s="145"/>
      <c r="D3" s="145"/>
      <c r="E3" s="145"/>
      <c r="F3" s="145"/>
      <c r="G3" s="145"/>
      <c r="H3" s="145"/>
      <c r="I3" s="145"/>
    </row>
    <row r="4" spans="1:9" ht="12.75">
      <c r="A4" s="142" t="s">
        <v>71</v>
      </c>
      <c r="B4" s="143"/>
      <c r="C4" s="143"/>
      <c r="D4" s="143"/>
      <c r="E4" s="143"/>
      <c r="F4" s="143"/>
      <c r="G4" s="143"/>
      <c r="H4" s="143"/>
      <c r="I4" s="143"/>
    </row>
    <row r="5" ht="13.5" thickBot="1">
      <c r="A5" s="141"/>
    </row>
    <row r="6" spans="1:9" ht="12.75">
      <c r="A6" s="146"/>
      <c r="B6" s="147"/>
      <c r="C6" s="147"/>
      <c r="D6" s="147"/>
      <c r="E6" s="147"/>
      <c r="F6" s="147"/>
      <c r="G6" s="147"/>
      <c r="H6" s="147"/>
      <c r="I6" s="147"/>
    </row>
    <row r="7" spans="1:9" s="150" customFormat="1" ht="12.75">
      <c r="A7" s="148"/>
      <c r="B7" s="149" t="s">
        <v>20</v>
      </c>
      <c r="C7" s="149" t="s">
        <v>49</v>
      </c>
      <c r="D7" s="149" t="s">
        <v>50</v>
      </c>
      <c r="E7" s="149" t="s">
        <v>53</v>
      </c>
      <c r="F7" s="149" t="s">
        <v>54</v>
      </c>
      <c r="G7" s="149" t="s">
        <v>55</v>
      </c>
      <c r="H7" s="149" t="s">
        <v>56</v>
      </c>
      <c r="I7" s="149" t="s">
        <v>67</v>
      </c>
    </row>
    <row r="8" spans="1:9" ht="12.75">
      <c r="A8" s="151"/>
      <c r="B8" s="152"/>
      <c r="C8" s="152"/>
      <c r="D8" s="152"/>
      <c r="E8" s="152"/>
      <c r="F8" s="152"/>
      <c r="G8" s="152"/>
      <c r="H8" s="152"/>
      <c r="I8" s="152"/>
    </row>
    <row r="9" spans="1:9" ht="12.75">
      <c r="A9" s="139"/>
      <c r="B9" s="153"/>
      <c r="C9" s="153"/>
      <c r="D9" s="153"/>
      <c r="E9" s="153"/>
      <c r="F9" s="153"/>
      <c r="G9" s="153"/>
      <c r="H9" s="153"/>
      <c r="I9" s="153"/>
    </row>
    <row r="10" spans="1:9" ht="12.75">
      <c r="A10" s="139" t="s">
        <v>7</v>
      </c>
      <c r="B10" s="152"/>
      <c r="C10" s="152"/>
      <c r="D10" s="152"/>
      <c r="E10" s="152"/>
      <c r="F10" s="152"/>
      <c r="G10" s="152"/>
      <c r="H10" s="152"/>
      <c r="I10" s="152"/>
    </row>
    <row r="11" spans="1:9" ht="12.75">
      <c r="A11" s="141" t="s">
        <v>21</v>
      </c>
      <c r="B11" s="154">
        <f>295+6+513+10</f>
        <v>824</v>
      </c>
      <c r="C11" s="154">
        <v>939</v>
      </c>
      <c r="D11" s="154">
        <v>2061</v>
      </c>
      <c r="E11" s="154">
        <v>2350</v>
      </c>
      <c r="F11" s="154">
        <v>2389</v>
      </c>
      <c r="G11" s="154">
        <v>3168</v>
      </c>
      <c r="H11" s="154">
        <v>3411</v>
      </c>
      <c r="I11" s="154">
        <v>3671</v>
      </c>
    </row>
    <row r="12" spans="1:9" ht="12.75">
      <c r="A12" s="141" t="s">
        <v>22</v>
      </c>
      <c r="B12" s="154">
        <f>50+105+118+1449+53+1216</f>
        <v>2991</v>
      </c>
      <c r="C12" s="154">
        <f>1612+58+1239</f>
        <v>2909</v>
      </c>
      <c r="D12" s="154">
        <v>3441</v>
      </c>
      <c r="E12" s="154">
        <v>3160</v>
      </c>
      <c r="F12" s="154">
        <v>2943</v>
      </c>
      <c r="G12" s="154">
        <v>2211</v>
      </c>
      <c r="H12" s="154">
        <v>2005</v>
      </c>
      <c r="I12" s="154">
        <v>2110</v>
      </c>
    </row>
    <row r="13" spans="1:9" s="157" customFormat="1" ht="12.75">
      <c r="A13" s="155" t="s">
        <v>4</v>
      </c>
      <c r="B13" s="156">
        <f aca="true" t="shared" si="0" ref="B13:I13">SUM(B11:B12)</f>
        <v>3815</v>
      </c>
      <c r="C13" s="156">
        <f t="shared" si="0"/>
        <v>3848</v>
      </c>
      <c r="D13" s="156">
        <f t="shared" si="0"/>
        <v>5502</v>
      </c>
      <c r="E13" s="156">
        <f t="shared" si="0"/>
        <v>5510</v>
      </c>
      <c r="F13" s="156">
        <f t="shared" si="0"/>
        <v>5332</v>
      </c>
      <c r="G13" s="156">
        <f t="shared" si="0"/>
        <v>5379</v>
      </c>
      <c r="H13" s="156">
        <f t="shared" si="0"/>
        <v>5416</v>
      </c>
      <c r="I13" s="156">
        <f t="shared" si="0"/>
        <v>5781</v>
      </c>
    </row>
    <row r="14" spans="1:9" ht="12.75">
      <c r="A14" s="158"/>
      <c r="B14" s="154"/>
      <c r="C14" s="154"/>
      <c r="D14" s="154"/>
      <c r="E14" s="154"/>
      <c r="F14" s="154"/>
      <c r="G14" s="154"/>
      <c r="H14" s="154"/>
      <c r="I14" s="154"/>
    </row>
    <row r="15" spans="1:9" ht="12.75">
      <c r="A15" s="139" t="s">
        <v>11</v>
      </c>
      <c r="B15" s="154"/>
      <c r="C15" s="154"/>
      <c r="D15" s="154"/>
      <c r="E15" s="154"/>
      <c r="F15" s="154"/>
      <c r="G15" s="154"/>
      <c r="H15" s="154"/>
      <c r="I15" s="154"/>
    </row>
    <row r="16" spans="1:9" ht="12.75">
      <c r="A16" s="141" t="s">
        <v>21</v>
      </c>
      <c r="B16" s="154">
        <f>862+5+660+14</f>
        <v>1541</v>
      </c>
      <c r="C16" s="154">
        <v>1595</v>
      </c>
      <c r="D16" s="154">
        <v>1780</v>
      </c>
      <c r="E16" s="154">
        <v>1842</v>
      </c>
      <c r="F16" s="154">
        <v>1925</v>
      </c>
      <c r="G16" s="154">
        <v>2002</v>
      </c>
      <c r="H16" s="154">
        <v>2039</v>
      </c>
      <c r="I16" s="154">
        <v>1604</v>
      </c>
    </row>
    <row r="17" spans="1:9" ht="12.75">
      <c r="A17" s="141" t="s">
        <v>22</v>
      </c>
      <c r="B17" s="154">
        <f>306+5+440+6+4+110</f>
        <v>871</v>
      </c>
      <c r="C17" s="154">
        <f>937+2+121</f>
        <v>1060</v>
      </c>
      <c r="D17" s="154">
        <v>1094</v>
      </c>
      <c r="E17" s="154">
        <v>1189</v>
      </c>
      <c r="F17" s="154">
        <v>1158</v>
      </c>
      <c r="G17" s="154">
        <v>1171</v>
      </c>
      <c r="H17" s="154">
        <v>1206</v>
      </c>
      <c r="I17" s="154">
        <v>941</v>
      </c>
    </row>
    <row r="18" spans="1:9" s="157" customFormat="1" ht="12.75">
      <c r="A18" s="155" t="s">
        <v>4</v>
      </c>
      <c r="B18" s="156">
        <f aca="true" t="shared" si="1" ref="B18:I18">SUM(B16:B17)</f>
        <v>2412</v>
      </c>
      <c r="C18" s="156">
        <f t="shared" si="1"/>
        <v>2655</v>
      </c>
      <c r="D18" s="156">
        <f t="shared" si="1"/>
        <v>2874</v>
      </c>
      <c r="E18" s="156">
        <f t="shared" si="1"/>
        <v>3031</v>
      </c>
      <c r="F18" s="156">
        <f t="shared" si="1"/>
        <v>3083</v>
      </c>
      <c r="G18" s="156">
        <f t="shared" si="1"/>
        <v>3173</v>
      </c>
      <c r="H18" s="156">
        <f t="shared" si="1"/>
        <v>3245</v>
      </c>
      <c r="I18" s="156">
        <f t="shared" si="1"/>
        <v>2545</v>
      </c>
    </row>
    <row r="19" spans="1:9" ht="12.75">
      <c r="A19" s="141"/>
      <c r="B19" s="154"/>
      <c r="C19" s="154"/>
      <c r="D19" s="154"/>
      <c r="E19" s="154"/>
      <c r="F19" s="154"/>
      <c r="G19" s="154"/>
      <c r="H19" s="154"/>
      <c r="I19" s="154"/>
    </row>
    <row r="20" spans="1:9" ht="12.75">
      <c r="A20" s="139" t="s">
        <v>12</v>
      </c>
      <c r="B20" s="154"/>
      <c r="C20" s="154"/>
      <c r="D20" s="154"/>
      <c r="E20" s="154"/>
      <c r="F20" s="154"/>
      <c r="G20" s="154"/>
      <c r="H20" s="154"/>
      <c r="I20" s="154"/>
    </row>
    <row r="21" spans="1:9" ht="12.75">
      <c r="A21" s="141" t="s">
        <v>21</v>
      </c>
      <c r="B21" s="154">
        <f>3898+2084</f>
        <v>5982</v>
      </c>
      <c r="C21" s="154">
        <v>5910</v>
      </c>
      <c r="D21" s="154">
        <v>5841</v>
      </c>
      <c r="E21" s="154">
        <v>5905</v>
      </c>
      <c r="F21" s="154">
        <v>5898</v>
      </c>
      <c r="G21" s="154">
        <v>5824</v>
      </c>
      <c r="H21" s="154">
        <v>5788</v>
      </c>
      <c r="I21" s="154">
        <v>5729</v>
      </c>
    </row>
    <row r="22" spans="1:9" ht="12.75">
      <c r="A22" s="141" t="s">
        <v>22</v>
      </c>
      <c r="B22" s="154">
        <f>1306+727+34</f>
        <v>2067</v>
      </c>
      <c r="C22" s="154">
        <f>2212+32</f>
        <v>2244</v>
      </c>
      <c r="D22" s="154">
        <v>2234</v>
      </c>
      <c r="E22" s="154">
        <v>2110</v>
      </c>
      <c r="F22" s="154">
        <v>1982</v>
      </c>
      <c r="G22" s="154">
        <v>2085</v>
      </c>
      <c r="H22" s="154">
        <v>2195</v>
      </c>
      <c r="I22" s="154">
        <v>2209</v>
      </c>
    </row>
    <row r="23" spans="1:9" s="157" customFormat="1" ht="12.75">
      <c r="A23" s="155" t="s">
        <v>4</v>
      </c>
      <c r="B23" s="156">
        <f aca="true" t="shared" si="2" ref="B23:I23">SUM(B21:B22)</f>
        <v>8049</v>
      </c>
      <c r="C23" s="156">
        <f t="shared" si="2"/>
        <v>8154</v>
      </c>
      <c r="D23" s="156">
        <f t="shared" si="2"/>
        <v>8075</v>
      </c>
      <c r="E23" s="156">
        <f t="shared" si="2"/>
        <v>8015</v>
      </c>
      <c r="F23" s="156">
        <f t="shared" si="2"/>
        <v>7880</v>
      </c>
      <c r="G23" s="156">
        <f t="shared" si="2"/>
        <v>7909</v>
      </c>
      <c r="H23" s="156">
        <f t="shared" si="2"/>
        <v>7983</v>
      </c>
      <c r="I23" s="156">
        <f t="shared" si="2"/>
        <v>7938</v>
      </c>
    </row>
    <row r="24" spans="1:9" ht="12.75">
      <c r="A24" s="158"/>
      <c r="B24" s="154"/>
      <c r="C24" s="154"/>
      <c r="D24" s="154"/>
      <c r="E24" s="154"/>
      <c r="F24" s="154"/>
      <c r="G24" s="154"/>
      <c r="H24" s="154"/>
      <c r="I24" s="154"/>
    </row>
    <row r="25" spans="1:9" ht="12.75">
      <c r="A25" s="139" t="s">
        <v>13</v>
      </c>
      <c r="B25" s="154"/>
      <c r="C25" s="154"/>
      <c r="D25" s="154"/>
      <c r="E25" s="154"/>
      <c r="F25" s="154"/>
      <c r="G25" s="154"/>
      <c r="H25" s="154"/>
      <c r="I25" s="154"/>
    </row>
    <row r="26" spans="1:9" ht="12.75">
      <c r="A26" s="141" t="s">
        <v>21</v>
      </c>
      <c r="B26" s="154">
        <f>363+265</f>
        <v>628</v>
      </c>
      <c r="C26" s="154">
        <v>616</v>
      </c>
      <c r="D26" s="154">
        <v>621</v>
      </c>
      <c r="E26" s="154">
        <v>631</v>
      </c>
      <c r="F26" s="154">
        <v>683</v>
      </c>
      <c r="G26" s="154">
        <v>711</v>
      </c>
      <c r="H26" s="154">
        <v>741</v>
      </c>
      <c r="I26" s="154">
        <v>759</v>
      </c>
    </row>
    <row r="27" spans="1:9" ht="12.75">
      <c r="A27" s="141" t="s">
        <v>22</v>
      </c>
      <c r="B27" s="154">
        <f>82+138+14</f>
        <v>234</v>
      </c>
      <c r="C27" s="154">
        <f>307+14</f>
        <v>321</v>
      </c>
      <c r="D27" s="154">
        <v>345</v>
      </c>
      <c r="E27" s="154">
        <v>344</v>
      </c>
      <c r="F27" s="154">
        <v>389</v>
      </c>
      <c r="G27" s="154">
        <v>433</v>
      </c>
      <c r="H27" s="154">
        <v>473</v>
      </c>
      <c r="I27" s="154">
        <v>472</v>
      </c>
    </row>
    <row r="28" spans="1:9" s="157" customFormat="1" ht="12.75">
      <c r="A28" s="155" t="s">
        <v>4</v>
      </c>
      <c r="B28" s="156">
        <f aca="true" t="shared" si="3" ref="B28:I28">SUM(B26:B27)</f>
        <v>862</v>
      </c>
      <c r="C28" s="156">
        <f t="shared" si="3"/>
        <v>937</v>
      </c>
      <c r="D28" s="156">
        <f t="shared" si="3"/>
        <v>966</v>
      </c>
      <c r="E28" s="156">
        <f t="shared" si="3"/>
        <v>975</v>
      </c>
      <c r="F28" s="156">
        <f t="shared" si="3"/>
        <v>1072</v>
      </c>
      <c r="G28" s="156">
        <f t="shared" si="3"/>
        <v>1144</v>
      </c>
      <c r="H28" s="156">
        <f t="shared" si="3"/>
        <v>1214</v>
      </c>
      <c r="I28" s="156">
        <f t="shared" si="3"/>
        <v>1231</v>
      </c>
    </row>
    <row r="29" spans="1:9" ht="12.75">
      <c r="A29" s="141"/>
      <c r="B29" s="154"/>
      <c r="C29" s="154"/>
      <c r="D29" s="154"/>
      <c r="E29" s="154"/>
      <c r="F29" s="154"/>
      <c r="G29" s="154"/>
      <c r="H29" s="154"/>
      <c r="I29" s="154"/>
    </row>
    <row r="30" spans="1:9" ht="12.75">
      <c r="A30" s="139" t="s">
        <v>14</v>
      </c>
      <c r="B30" s="154"/>
      <c r="C30" s="154"/>
      <c r="D30" s="154"/>
      <c r="E30" s="154"/>
      <c r="F30" s="154"/>
      <c r="G30" s="154"/>
      <c r="H30" s="154"/>
      <c r="I30" s="154"/>
    </row>
    <row r="31" spans="1:9" ht="12.75">
      <c r="A31" s="141" t="s">
        <v>21</v>
      </c>
      <c r="B31" s="154">
        <f>775+298+58+53</f>
        <v>1184</v>
      </c>
      <c r="C31" s="154">
        <v>1223</v>
      </c>
      <c r="D31" s="154">
        <v>1244</v>
      </c>
      <c r="E31" s="154">
        <v>1302</v>
      </c>
      <c r="F31" s="154">
        <v>1326</v>
      </c>
      <c r="G31" s="154">
        <v>1375</v>
      </c>
      <c r="H31" s="154">
        <v>1454</v>
      </c>
      <c r="I31" s="154">
        <v>1517</v>
      </c>
    </row>
    <row r="32" spans="1:9" ht="12.75">
      <c r="A32" s="141" t="s">
        <v>22</v>
      </c>
      <c r="B32" s="154">
        <f>417+144+3+4</f>
        <v>568</v>
      </c>
      <c r="C32" s="154">
        <v>556</v>
      </c>
      <c r="D32" s="154">
        <v>596</v>
      </c>
      <c r="E32" s="154">
        <v>606</v>
      </c>
      <c r="F32" s="154">
        <v>637</v>
      </c>
      <c r="G32" s="154">
        <v>683</v>
      </c>
      <c r="H32" s="154">
        <v>737</v>
      </c>
      <c r="I32" s="154">
        <v>800</v>
      </c>
    </row>
    <row r="33" spans="1:9" s="157" customFormat="1" ht="12.75">
      <c r="A33" s="155" t="s">
        <v>4</v>
      </c>
      <c r="B33" s="156">
        <f aca="true" t="shared" si="4" ref="B33:I33">SUM(B31:B32)</f>
        <v>1752</v>
      </c>
      <c r="C33" s="156">
        <f t="shared" si="4"/>
        <v>1779</v>
      </c>
      <c r="D33" s="156">
        <f t="shared" si="4"/>
        <v>1840</v>
      </c>
      <c r="E33" s="156">
        <f t="shared" si="4"/>
        <v>1908</v>
      </c>
      <c r="F33" s="156">
        <f t="shared" si="4"/>
        <v>1963</v>
      </c>
      <c r="G33" s="156">
        <f t="shared" si="4"/>
        <v>2058</v>
      </c>
      <c r="H33" s="156">
        <f t="shared" si="4"/>
        <v>2191</v>
      </c>
      <c r="I33" s="156">
        <f t="shared" si="4"/>
        <v>2317</v>
      </c>
    </row>
    <row r="34" spans="1:9" s="157" customFormat="1" ht="12.75">
      <c r="A34" s="155"/>
      <c r="B34" s="159"/>
      <c r="C34" s="159"/>
      <c r="D34" s="159"/>
      <c r="E34" s="159"/>
      <c r="F34" s="159"/>
      <c r="G34" s="159"/>
      <c r="H34" s="159"/>
      <c r="I34" s="159"/>
    </row>
    <row r="35" spans="1:9" s="47" customFormat="1" ht="12.75">
      <c r="A35" s="1" t="s">
        <v>74</v>
      </c>
      <c r="B35" s="58"/>
      <c r="C35" s="58"/>
      <c r="D35" s="58"/>
      <c r="E35" s="58"/>
      <c r="F35" s="58"/>
      <c r="G35" s="58"/>
      <c r="H35" s="58"/>
      <c r="I35" s="58"/>
    </row>
    <row r="36" spans="1:9" s="47" customFormat="1" ht="12.75">
      <c r="A36" s="48" t="s">
        <v>21</v>
      </c>
      <c r="B36" s="58"/>
      <c r="C36" s="58"/>
      <c r="D36" s="58"/>
      <c r="E36" s="58"/>
      <c r="F36" s="58"/>
      <c r="G36" s="58"/>
      <c r="H36" s="58"/>
      <c r="I36" s="58">
        <v>0</v>
      </c>
    </row>
    <row r="37" spans="1:9" s="47" customFormat="1" ht="12.75">
      <c r="A37" s="48" t="s">
        <v>22</v>
      </c>
      <c r="B37" s="58"/>
      <c r="C37" s="58"/>
      <c r="D37" s="58"/>
      <c r="E37" s="58"/>
      <c r="F37" s="58"/>
      <c r="G37" s="58"/>
      <c r="H37" s="58"/>
      <c r="I37" s="58">
        <v>73</v>
      </c>
    </row>
    <row r="38" spans="1:9" s="47" customFormat="1" ht="12.75">
      <c r="A38" s="59" t="s">
        <v>4</v>
      </c>
      <c r="B38" s="236"/>
      <c r="C38" s="236"/>
      <c r="D38" s="236"/>
      <c r="E38" s="236"/>
      <c r="F38" s="236"/>
      <c r="G38" s="236"/>
      <c r="H38" s="237"/>
      <c r="I38" s="60">
        <f>I36+I37</f>
        <v>73</v>
      </c>
    </row>
    <row r="39" spans="1:9" s="47" customFormat="1" ht="12.75">
      <c r="A39" s="59"/>
      <c r="B39" s="58"/>
      <c r="C39" s="58"/>
      <c r="D39" s="58"/>
      <c r="E39" s="58"/>
      <c r="F39" s="58"/>
      <c r="G39" s="58"/>
      <c r="H39" s="58"/>
      <c r="I39" s="223"/>
    </row>
    <row r="40" spans="1:9" ht="12.75">
      <c r="A40" s="1" t="s">
        <v>62</v>
      </c>
      <c r="B40" s="154"/>
      <c r="C40" s="154"/>
      <c r="D40" s="154"/>
      <c r="E40" s="154"/>
      <c r="F40" s="154"/>
      <c r="G40" s="154"/>
      <c r="H40" s="154"/>
      <c r="I40" s="154"/>
    </row>
    <row r="41" spans="1:9" ht="12.75">
      <c r="A41" s="141" t="s">
        <v>21</v>
      </c>
      <c r="B41" s="154">
        <f>71+65</f>
        <v>136</v>
      </c>
      <c r="C41" s="154">
        <v>144</v>
      </c>
      <c r="D41" s="154">
        <v>180</v>
      </c>
      <c r="E41" s="154">
        <v>225</v>
      </c>
      <c r="F41" s="154">
        <v>238</v>
      </c>
      <c r="G41" s="154">
        <v>255</v>
      </c>
      <c r="H41" s="154">
        <v>268</v>
      </c>
      <c r="I41" s="154">
        <v>298</v>
      </c>
    </row>
    <row r="42" spans="1:9" ht="12.75">
      <c r="A42" s="141" t="s">
        <v>22</v>
      </c>
      <c r="B42" s="154">
        <f>80+120+6</f>
        <v>206</v>
      </c>
      <c r="C42" s="154">
        <f>213+4</f>
        <v>217</v>
      </c>
      <c r="D42" s="154">
        <v>192</v>
      </c>
      <c r="E42" s="154">
        <v>176</v>
      </c>
      <c r="F42" s="154">
        <v>163</v>
      </c>
      <c r="G42" s="154">
        <v>160</v>
      </c>
      <c r="H42" s="154">
        <v>287</v>
      </c>
      <c r="I42" s="154">
        <v>281</v>
      </c>
    </row>
    <row r="43" spans="1:9" s="157" customFormat="1" ht="12.75">
      <c r="A43" s="155" t="s">
        <v>4</v>
      </c>
      <c r="B43" s="156">
        <f aca="true" t="shared" si="5" ref="B43:I43">SUM(B41:B42)</f>
        <v>342</v>
      </c>
      <c r="C43" s="156">
        <f t="shared" si="5"/>
        <v>361</v>
      </c>
      <c r="D43" s="156">
        <f t="shared" si="5"/>
        <v>372</v>
      </c>
      <c r="E43" s="156">
        <f t="shared" si="5"/>
        <v>401</v>
      </c>
      <c r="F43" s="156">
        <f t="shared" si="5"/>
        <v>401</v>
      </c>
      <c r="G43" s="156">
        <f t="shared" si="5"/>
        <v>415</v>
      </c>
      <c r="H43" s="156">
        <f t="shared" si="5"/>
        <v>555</v>
      </c>
      <c r="I43" s="156">
        <f t="shared" si="5"/>
        <v>579</v>
      </c>
    </row>
    <row r="44" spans="1:9" ht="12.75">
      <c r="A44" s="141"/>
      <c r="B44" s="154"/>
      <c r="C44" s="154"/>
      <c r="D44" s="154"/>
      <c r="E44" s="154"/>
      <c r="F44" s="154"/>
      <c r="G44" s="154"/>
      <c r="H44" s="154"/>
      <c r="I44" s="154"/>
    </row>
    <row r="45" spans="1:9" ht="12.75">
      <c r="A45" s="1" t="s">
        <v>63</v>
      </c>
      <c r="B45" s="154"/>
      <c r="C45" s="154"/>
      <c r="D45" s="154"/>
      <c r="E45" s="154"/>
      <c r="F45" s="154"/>
      <c r="G45" s="154"/>
      <c r="H45" s="154"/>
      <c r="I45" s="154"/>
    </row>
    <row r="46" spans="1:9" ht="12.75">
      <c r="A46" s="141" t="s">
        <v>21</v>
      </c>
      <c r="B46" s="154">
        <f>5+5</f>
        <v>10</v>
      </c>
      <c r="C46" s="154">
        <v>12</v>
      </c>
      <c r="D46" s="154">
        <v>14</v>
      </c>
      <c r="E46" s="154">
        <v>16</v>
      </c>
      <c r="F46" s="154">
        <v>19</v>
      </c>
      <c r="G46" s="154">
        <v>20</v>
      </c>
      <c r="H46" s="154">
        <v>22</v>
      </c>
      <c r="I46" s="154">
        <v>23</v>
      </c>
    </row>
    <row r="47" spans="1:9" ht="12.75">
      <c r="A47" s="141" t="s">
        <v>22</v>
      </c>
      <c r="B47" s="154">
        <f>5+12</f>
        <v>17</v>
      </c>
      <c r="C47" s="154">
        <v>20</v>
      </c>
      <c r="D47" s="154">
        <v>19</v>
      </c>
      <c r="E47" s="154">
        <v>19</v>
      </c>
      <c r="F47" s="154">
        <v>15</v>
      </c>
      <c r="G47" s="154">
        <v>17</v>
      </c>
      <c r="H47" s="154">
        <v>21</v>
      </c>
      <c r="I47" s="154">
        <v>24</v>
      </c>
    </row>
    <row r="48" spans="1:9" s="157" customFormat="1" ht="12.75">
      <c r="A48" s="155" t="s">
        <v>4</v>
      </c>
      <c r="B48" s="156">
        <f aca="true" t="shared" si="6" ref="B48:I48">SUM(B46:B47)</f>
        <v>27</v>
      </c>
      <c r="C48" s="156">
        <f t="shared" si="6"/>
        <v>32</v>
      </c>
      <c r="D48" s="156">
        <f t="shared" si="6"/>
        <v>33</v>
      </c>
      <c r="E48" s="156">
        <f t="shared" si="6"/>
        <v>35</v>
      </c>
      <c r="F48" s="156">
        <f t="shared" si="6"/>
        <v>34</v>
      </c>
      <c r="G48" s="156">
        <f t="shared" si="6"/>
        <v>37</v>
      </c>
      <c r="H48" s="156">
        <f t="shared" si="6"/>
        <v>43</v>
      </c>
      <c r="I48" s="156">
        <f t="shared" si="6"/>
        <v>47</v>
      </c>
    </row>
    <row r="49" spans="1:9" s="157" customFormat="1" ht="12.75">
      <c r="A49" s="155"/>
      <c r="B49" s="159"/>
      <c r="C49" s="159"/>
      <c r="D49" s="159"/>
      <c r="E49" s="159"/>
      <c r="F49" s="159"/>
      <c r="G49" s="159"/>
      <c r="H49" s="159"/>
      <c r="I49" s="159"/>
    </row>
    <row r="50" spans="1:9" ht="12.75">
      <c r="A50" s="139" t="s">
        <v>15</v>
      </c>
      <c r="B50" s="154"/>
      <c r="C50" s="154"/>
      <c r="D50" s="154"/>
      <c r="E50" s="154"/>
      <c r="F50" s="154"/>
      <c r="G50" s="154"/>
      <c r="H50" s="154"/>
      <c r="I50" s="154"/>
    </row>
    <row r="51" spans="1:9" ht="12.75">
      <c r="A51" s="141" t="s">
        <v>21</v>
      </c>
      <c r="B51" s="154">
        <f>25+130</f>
        <v>155</v>
      </c>
      <c r="C51" s="154">
        <v>157</v>
      </c>
      <c r="D51" s="154">
        <v>147</v>
      </c>
      <c r="E51" s="154">
        <v>143</v>
      </c>
      <c r="F51" s="154">
        <v>158</v>
      </c>
      <c r="G51" s="154">
        <v>160</v>
      </c>
      <c r="H51" s="154">
        <v>152</v>
      </c>
      <c r="I51" s="154">
        <v>186</v>
      </c>
    </row>
    <row r="52" spans="1:9" ht="12.75">
      <c r="A52" s="141" t="s">
        <v>22</v>
      </c>
      <c r="B52" s="154">
        <f>2+76</f>
        <v>78</v>
      </c>
      <c r="C52" s="154">
        <v>80</v>
      </c>
      <c r="D52" s="154">
        <v>84</v>
      </c>
      <c r="E52" s="154">
        <v>91</v>
      </c>
      <c r="F52" s="154">
        <v>98</v>
      </c>
      <c r="G52" s="154">
        <v>86</v>
      </c>
      <c r="H52" s="154">
        <v>164</v>
      </c>
      <c r="I52" s="154">
        <v>142</v>
      </c>
    </row>
    <row r="53" spans="1:9" s="157" customFormat="1" ht="12.75">
      <c r="A53" s="155" t="s">
        <v>4</v>
      </c>
      <c r="B53" s="156">
        <f aca="true" t="shared" si="7" ref="B53:I53">SUM(B51:B52)</f>
        <v>233</v>
      </c>
      <c r="C53" s="156">
        <f t="shared" si="7"/>
        <v>237</v>
      </c>
      <c r="D53" s="156">
        <f t="shared" si="7"/>
        <v>231</v>
      </c>
      <c r="E53" s="156">
        <f t="shared" si="7"/>
        <v>234</v>
      </c>
      <c r="F53" s="156">
        <f t="shared" si="7"/>
        <v>256</v>
      </c>
      <c r="G53" s="156">
        <f t="shared" si="7"/>
        <v>246</v>
      </c>
      <c r="H53" s="156">
        <f t="shared" si="7"/>
        <v>316</v>
      </c>
      <c r="I53" s="156">
        <f t="shared" si="7"/>
        <v>328</v>
      </c>
    </row>
    <row r="54" spans="1:9" s="157" customFormat="1" ht="12.75">
      <c r="A54" s="155"/>
      <c r="B54" s="159"/>
      <c r="C54" s="159"/>
      <c r="D54" s="159"/>
      <c r="E54" s="159"/>
      <c r="F54" s="159"/>
      <c r="G54" s="159"/>
      <c r="H54" s="159"/>
      <c r="I54" s="159"/>
    </row>
    <row r="55" spans="1:9" ht="12.75">
      <c r="A55" s="139" t="s">
        <v>16</v>
      </c>
      <c r="B55" s="154"/>
      <c r="C55" s="154"/>
      <c r="D55" s="154"/>
      <c r="E55" s="154"/>
      <c r="F55" s="154"/>
      <c r="G55" s="154"/>
      <c r="H55" s="154"/>
      <c r="I55" s="154"/>
    </row>
    <row r="56" spans="1:9" ht="12.75">
      <c r="A56" s="141" t="s">
        <v>21</v>
      </c>
      <c r="B56" s="154">
        <f>(1423+1090+469+70)-(58+53+115+49)</f>
        <v>2777</v>
      </c>
      <c r="C56" s="154">
        <v>2838</v>
      </c>
      <c r="D56" s="154">
        <v>2948</v>
      </c>
      <c r="E56" s="154">
        <v>3032</v>
      </c>
      <c r="F56" s="154">
        <v>3170</v>
      </c>
      <c r="G56" s="154">
        <v>3284</v>
      </c>
      <c r="H56" s="154">
        <v>3346</v>
      </c>
      <c r="I56" s="154">
        <v>4118</v>
      </c>
    </row>
    <row r="57" spans="1:9" ht="12.75">
      <c r="A57" s="141" t="s">
        <v>22</v>
      </c>
      <c r="B57" s="154">
        <f>(565+505+30+8+233)-(3+4+10+4)</f>
        <v>1320</v>
      </c>
      <c r="C57" s="154">
        <f>1208+216+9</f>
        <v>1433</v>
      </c>
      <c r="D57" s="154">
        <v>1458</v>
      </c>
      <c r="E57" s="154">
        <v>1366</v>
      </c>
      <c r="F57" s="154">
        <v>1510</v>
      </c>
      <c r="G57" s="154">
        <v>1463</v>
      </c>
      <c r="H57" s="154">
        <v>1414</v>
      </c>
      <c r="I57" s="154">
        <v>1965</v>
      </c>
    </row>
    <row r="58" spans="1:9" s="157" customFormat="1" ht="12.75">
      <c r="A58" s="155" t="s">
        <v>4</v>
      </c>
      <c r="B58" s="156">
        <f aca="true" t="shared" si="8" ref="B58:I58">SUM(B56:B57)</f>
        <v>4097</v>
      </c>
      <c r="C58" s="156">
        <f t="shared" si="8"/>
        <v>4271</v>
      </c>
      <c r="D58" s="156">
        <f t="shared" si="8"/>
        <v>4406</v>
      </c>
      <c r="E58" s="156">
        <f t="shared" si="8"/>
        <v>4398</v>
      </c>
      <c r="F58" s="156">
        <f t="shared" si="8"/>
        <v>4680</v>
      </c>
      <c r="G58" s="156">
        <f t="shared" si="8"/>
        <v>4747</v>
      </c>
      <c r="H58" s="156">
        <f t="shared" si="8"/>
        <v>4760</v>
      </c>
      <c r="I58" s="156">
        <f t="shared" si="8"/>
        <v>6083</v>
      </c>
    </row>
    <row r="59" spans="1:9" ht="12.75">
      <c r="A59" s="202"/>
      <c r="B59" s="203"/>
      <c r="C59" s="203"/>
      <c r="D59" s="203"/>
      <c r="E59" s="203"/>
      <c r="F59" s="203"/>
      <c r="G59" s="203"/>
      <c r="H59" s="203"/>
      <c r="I59" s="203"/>
    </row>
    <row r="60" spans="1:9" ht="12.75">
      <c r="A60" s="160" t="s">
        <v>79</v>
      </c>
      <c r="B60" s="154"/>
      <c r="C60" s="154"/>
      <c r="D60" s="154"/>
      <c r="E60" s="154"/>
      <c r="F60" s="154"/>
      <c r="G60" s="154"/>
      <c r="H60" s="154"/>
      <c r="I60" s="154"/>
    </row>
    <row r="61" spans="1:9" ht="12.75">
      <c r="A61" s="141" t="s">
        <v>21</v>
      </c>
      <c r="B61" s="154">
        <f aca="true" t="shared" si="9" ref="B61:I62">SUM(B11,B16,B21,B26,B31,B41,B46,B51,B56)</f>
        <v>13237</v>
      </c>
      <c r="C61" s="154">
        <f t="shared" si="9"/>
        <v>13434</v>
      </c>
      <c r="D61" s="154">
        <f t="shared" si="9"/>
        <v>14836</v>
      </c>
      <c r="E61" s="154">
        <f t="shared" si="9"/>
        <v>15446</v>
      </c>
      <c r="F61" s="154">
        <f t="shared" si="9"/>
        <v>15806</v>
      </c>
      <c r="G61" s="154">
        <f t="shared" si="9"/>
        <v>16799</v>
      </c>
      <c r="H61" s="154">
        <f t="shared" si="9"/>
        <v>17221</v>
      </c>
      <c r="I61" s="154">
        <f t="shared" si="9"/>
        <v>17905</v>
      </c>
    </row>
    <row r="62" spans="1:9" ht="12.75">
      <c r="A62" s="141" t="s">
        <v>22</v>
      </c>
      <c r="B62" s="154">
        <f t="shared" si="9"/>
        <v>8352</v>
      </c>
      <c r="C62" s="154">
        <f t="shared" si="9"/>
        <v>8840</v>
      </c>
      <c r="D62" s="154">
        <f t="shared" si="9"/>
        <v>9463</v>
      </c>
      <c r="E62" s="154">
        <f t="shared" si="9"/>
        <v>9061</v>
      </c>
      <c r="F62" s="154">
        <f t="shared" si="9"/>
        <v>8895</v>
      </c>
      <c r="G62" s="154">
        <f t="shared" si="9"/>
        <v>8309</v>
      </c>
      <c r="H62" s="154">
        <f t="shared" si="9"/>
        <v>8502</v>
      </c>
      <c r="I62" s="154">
        <f t="shared" si="9"/>
        <v>8944</v>
      </c>
    </row>
    <row r="63" spans="1:9" s="157" customFormat="1" ht="12.75">
      <c r="A63" s="155" t="s">
        <v>4</v>
      </c>
      <c r="B63" s="156">
        <f aca="true" t="shared" si="10" ref="B63:I63">SUM(B61:B62)</f>
        <v>21589</v>
      </c>
      <c r="C63" s="156">
        <f t="shared" si="10"/>
        <v>22274</v>
      </c>
      <c r="D63" s="156">
        <f t="shared" si="10"/>
        <v>24299</v>
      </c>
      <c r="E63" s="156">
        <f t="shared" si="10"/>
        <v>24507</v>
      </c>
      <c r="F63" s="156">
        <f t="shared" si="10"/>
        <v>24701</v>
      </c>
      <c r="G63" s="156">
        <f t="shared" si="10"/>
        <v>25108</v>
      </c>
      <c r="H63" s="156">
        <f t="shared" si="10"/>
        <v>25723</v>
      </c>
      <c r="I63" s="156">
        <f t="shared" si="10"/>
        <v>26849</v>
      </c>
    </row>
    <row r="64" spans="1:9" s="28" customFormat="1" ht="12.75">
      <c r="A64" s="232"/>
      <c r="B64" s="233"/>
      <c r="C64" s="234"/>
      <c r="D64" s="234"/>
      <c r="E64" s="234"/>
      <c r="F64" s="234"/>
      <c r="G64" s="234"/>
      <c r="H64" s="235"/>
      <c r="I64" s="233"/>
    </row>
    <row r="65" spans="1:9" s="28" customFormat="1" ht="12.75">
      <c r="A65" s="160" t="s">
        <v>84</v>
      </c>
      <c r="B65" s="39"/>
      <c r="C65" s="221"/>
      <c r="D65" s="221"/>
      <c r="E65" s="221"/>
      <c r="F65" s="221"/>
      <c r="G65" s="221"/>
      <c r="H65" s="222"/>
      <c r="I65" s="39"/>
    </row>
    <row r="66" spans="1:9" s="28" customFormat="1" ht="12.75">
      <c r="A66" s="29" t="s">
        <v>21</v>
      </c>
      <c r="B66" s="228"/>
      <c r="C66"/>
      <c r="D66"/>
      <c r="E66"/>
      <c r="F66"/>
      <c r="G66"/>
      <c r="H66"/>
      <c r="I66" s="39">
        <f>SUM(I11,I16,I21,I26,I31,I41,I46,I51,I56,I36)</f>
        <v>17905</v>
      </c>
    </row>
    <row r="67" spans="1:9" s="28" customFormat="1" ht="12.75">
      <c r="A67" s="29" t="s">
        <v>22</v>
      </c>
      <c r="B67" s="228"/>
      <c r="C67"/>
      <c r="D67"/>
      <c r="E67"/>
      <c r="F67"/>
      <c r="G67"/>
      <c r="H67"/>
      <c r="I67" s="39">
        <f>SUM(I12,I17,I22,I27,I32,I42,I47,I52,I57,I37)</f>
        <v>9017</v>
      </c>
    </row>
    <row r="68" spans="1:9" s="42" customFormat="1" ht="12.75">
      <c r="A68" s="40" t="s">
        <v>4</v>
      </c>
      <c r="B68" s="229"/>
      <c r="C68" s="230"/>
      <c r="D68" s="230"/>
      <c r="E68" s="230"/>
      <c r="F68" s="230"/>
      <c r="G68" s="230"/>
      <c r="H68" s="231"/>
      <c r="I68" s="41">
        <f>SUM(I66:I67)</f>
        <v>26922</v>
      </c>
    </row>
    <row r="70" ht="12" customHeight="1">
      <c r="A70" s="197" t="s">
        <v>18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orientation="portrait" paperSize="9" scale="86" r:id="rId1"/>
  <headerFooter alignWithMargins="0">
    <oddFooter>&amp;R&amp;A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O5" sqref="O5"/>
    </sheetView>
  </sheetViews>
  <sheetFormatPr defaultColWidth="9.140625" defaultRowHeight="12.75"/>
  <sheetData/>
  <sheetProtection/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portrait" paperSize="9" scale="80" r:id="rId2"/>
  <headerFooter alignWithMargins="0">
    <oddFooter>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31.2812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65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1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66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2</v>
      </c>
      <c r="C6" s="10"/>
      <c r="D6" s="10"/>
      <c r="E6" s="9" t="s">
        <v>3</v>
      </c>
      <c r="F6" s="10"/>
      <c r="G6" s="10"/>
      <c r="H6" s="9" t="s">
        <v>4</v>
      </c>
      <c r="I6" s="10"/>
      <c r="J6" s="10"/>
    </row>
    <row r="7" spans="1:10" s="169" customFormat="1" ht="12.75">
      <c r="A7" s="70"/>
      <c r="B7" s="189" t="s">
        <v>5</v>
      </c>
      <c r="C7" s="190" t="s">
        <v>6</v>
      </c>
      <c r="D7" s="190" t="s">
        <v>4</v>
      </c>
      <c r="E7" s="189" t="s">
        <v>5</v>
      </c>
      <c r="F7" s="190" t="s">
        <v>6</v>
      </c>
      <c r="G7" s="190" t="s">
        <v>4</v>
      </c>
      <c r="H7" s="189" t="s">
        <v>5</v>
      </c>
      <c r="I7" s="190" t="s">
        <v>6</v>
      </c>
      <c r="J7" s="190" t="s">
        <v>4</v>
      </c>
    </row>
    <row r="8" spans="1:10" ht="12.75">
      <c r="A8" s="2"/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1" t="s">
        <v>7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48</v>
      </c>
      <c r="B10" s="207">
        <v>955</v>
      </c>
      <c r="C10" s="208">
        <v>6047</v>
      </c>
      <c r="D10" s="204">
        <f>SUM(B10:C10)</f>
        <v>7002</v>
      </c>
      <c r="E10" s="209">
        <v>169</v>
      </c>
      <c r="F10" s="209">
        <v>771</v>
      </c>
      <c r="G10" s="12">
        <f>SUM(E10:F10)</f>
        <v>940</v>
      </c>
      <c r="H10" s="11">
        <f aca="true" t="shared" si="0" ref="H10:I13">SUM(B10,E10)</f>
        <v>1124</v>
      </c>
      <c r="I10" s="12">
        <f t="shared" si="0"/>
        <v>6818</v>
      </c>
      <c r="J10" s="12">
        <f>SUM(H10:I10)</f>
        <v>7942</v>
      </c>
    </row>
    <row r="11" spans="1:10" ht="12.75">
      <c r="A11" s="2" t="s">
        <v>8</v>
      </c>
      <c r="B11" s="207">
        <v>4717</v>
      </c>
      <c r="C11" s="208">
        <v>23840</v>
      </c>
      <c r="D11" s="204">
        <f>SUM(B11:C11)</f>
        <v>28557</v>
      </c>
      <c r="E11" s="209">
        <v>287</v>
      </c>
      <c r="F11" s="209">
        <v>2226</v>
      </c>
      <c r="G11" s="12">
        <f>SUM(E11:F11)</f>
        <v>2513</v>
      </c>
      <c r="H11" s="11">
        <f t="shared" si="0"/>
        <v>5004</v>
      </c>
      <c r="I11" s="12">
        <f t="shared" si="0"/>
        <v>26066</v>
      </c>
      <c r="J11" s="12">
        <f>SUM(H11:I11)</f>
        <v>31070</v>
      </c>
    </row>
    <row r="12" spans="1:10" ht="12.75">
      <c r="A12" s="2" t="s">
        <v>9</v>
      </c>
      <c r="B12" s="207">
        <v>6</v>
      </c>
      <c r="C12" s="208">
        <v>23</v>
      </c>
      <c r="D12" s="204">
        <f>SUM(B12:C12)</f>
        <v>29</v>
      </c>
      <c r="E12" s="209">
        <v>0</v>
      </c>
      <c r="F12" s="209">
        <v>3</v>
      </c>
      <c r="G12" s="12">
        <f>SUM(E12:F12)</f>
        <v>3</v>
      </c>
      <c r="H12" s="13">
        <f t="shared" si="0"/>
        <v>6</v>
      </c>
      <c r="I12" s="12">
        <f t="shared" si="0"/>
        <v>26</v>
      </c>
      <c r="J12" s="12">
        <f>SUM(H12:I12)</f>
        <v>32</v>
      </c>
    </row>
    <row r="13" spans="1:10" ht="12.75">
      <c r="A13" s="3" t="s">
        <v>10</v>
      </c>
      <c r="B13" s="210">
        <v>1827</v>
      </c>
      <c r="C13" s="211">
        <v>9173</v>
      </c>
      <c r="D13" s="205">
        <f>SUM(B13:C13)</f>
        <v>11000</v>
      </c>
      <c r="E13" s="209">
        <v>124</v>
      </c>
      <c r="F13" s="209">
        <v>814</v>
      </c>
      <c r="G13" s="12">
        <f>SUM(E13:F13)</f>
        <v>938</v>
      </c>
      <c r="H13" s="11">
        <f t="shared" si="0"/>
        <v>1951</v>
      </c>
      <c r="I13" s="12">
        <f t="shared" si="0"/>
        <v>9987</v>
      </c>
      <c r="J13" s="12">
        <f>SUM(H13:I13)</f>
        <v>11938</v>
      </c>
    </row>
    <row r="14" spans="1:10" s="17" customFormat="1" ht="12.75">
      <c r="A14" s="14" t="s">
        <v>4</v>
      </c>
      <c r="B14" s="15">
        <f>SUM(B10:B13)</f>
        <v>7505</v>
      </c>
      <c r="C14" s="16">
        <f aca="true" t="shared" si="1" ref="C14:J14">SUM(C10:C13)</f>
        <v>39083</v>
      </c>
      <c r="D14" s="16">
        <f t="shared" si="1"/>
        <v>46588</v>
      </c>
      <c r="E14" s="15">
        <f t="shared" si="1"/>
        <v>580</v>
      </c>
      <c r="F14" s="16">
        <f t="shared" si="1"/>
        <v>3814</v>
      </c>
      <c r="G14" s="16">
        <f t="shared" si="1"/>
        <v>4394</v>
      </c>
      <c r="H14" s="15">
        <f t="shared" si="1"/>
        <v>8085</v>
      </c>
      <c r="I14" s="16">
        <f t="shared" si="1"/>
        <v>42897</v>
      </c>
      <c r="J14" s="16">
        <f t="shared" si="1"/>
        <v>50982</v>
      </c>
    </row>
    <row r="15" spans="1:10" ht="12.75">
      <c r="A15" s="3"/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1" t="s">
        <v>11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48</v>
      </c>
      <c r="B17" s="207">
        <v>238</v>
      </c>
      <c r="C17" s="208">
        <v>1160</v>
      </c>
      <c r="D17" s="204">
        <f>SUM(B17:C17)</f>
        <v>1398</v>
      </c>
      <c r="E17" s="209">
        <v>78</v>
      </c>
      <c r="F17" s="209">
        <v>547</v>
      </c>
      <c r="G17" s="12">
        <f>SUM(E17:F17)</f>
        <v>625</v>
      </c>
      <c r="H17" s="11">
        <f aca="true" t="shared" si="2" ref="H17:I20">SUM(B17,E17)</f>
        <v>316</v>
      </c>
      <c r="I17" s="12">
        <f t="shared" si="2"/>
        <v>1707</v>
      </c>
      <c r="J17" s="12">
        <f>SUM(H17:I17)</f>
        <v>2023</v>
      </c>
    </row>
    <row r="18" spans="1:10" ht="12.75">
      <c r="A18" s="2" t="s">
        <v>8</v>
      </c>
      <c r="B18" s="207">
        <v>690</v>
      </c>
      <c r="C18" s="208">
        <v>2919</v>
      </c>
      <c r="D18" s="204">
        <f>SUM(B18:C18)</f>
        <v>3609</v>
      </c>
      <c r="E18" s="209">
        <v>102</v>
      </c>
      <c r="F18" s="209">
        <v>1021</v>
      </c>
      <c r="G18" s="12">
        <f>SUM(E18:F18)</f>
        <v>1123</v>
      </c>
      <c r="H18" s="11">
        <f t="shared" si="2"/>
        <v>792</v>
      </c>
      <c r="I18" s="12">
        <f t="shared" si="2"/>
        <v>3940</v>
      </c>
      <c r="J18" s="12">
        <f>SUM(H18:I18)</f>
        <v>4732</v>
      </c>
    </row>
    <row r="19" spans="1:10" ht="12.75">
      <c r="A19" s="2" t="s">
        <v>9</v>
      </c>
      <c r="B19" s="207">
        <v>20</v>
      </c>
      <c r="C19" s="208">
        <v>90</v>
      </c>
      <c r="D19" s="206">
        <f>SUM(B19:C19)</f>
        <v>110</v>
      </c>
      <c r="E19" s="209">
        <v>2</v>
      </c>
      <c r="F19" s="209">
        <v>22</v>
      </c>
      <c r="G19" s="18">
        <f>SUM(E19:F19)</f>
        <v>24</v>
      </c>
      <c r="H19" s="13">
        <f t="shared" si="2"/>
        <v>22</v>
      </c>
      <c r="I19" s="18">
        <f t="shared" si="2"/>
        <v>112</v>
      </c>
      <c r="J19" s="18">
        <f>SUM(H19:I19)</f>
        <v>134</v>
      </c>
    </row>
    <row r="20" spans="1:10" ht="12.75">
      <c r="A20" s="2" t="s">
        <v>10</v>
      </c>
      <c r="B20" s="210">
        <v>127</v>
      </c>
      <c r="C20" s="211">
        <v>651</v>
      </c>
      <c r="D20" s="205">
        <f>SUM(B20:C20)</f>
        <v>778</v>
      </c>
      <c r="E20" s="209">
        <v>19</v>
      </c>
      <c r="F20" s="209">
        <v>235</v>
      </c>
      <c r="G20" s="12">
        <f>SUM(E20:F20)</f>
        <v>254</v>
      </c>
      <c r="H20" s="11">
        <f t="shared" si="2"/>
        <v>146</v>
      </c>
      <c r="I20" s="12">
        <f t="shared" si="2"/>
        <v>886</v>
      </c>
      <c r="J20" s="12">
        <f>SUM(H20:I20)</f>
        <v>1032</v>
      </c>
    </row>
    <row r="21" spans="1:10" s="17" customFormat="1" ht="12.75">
      <c r="A21" s="19" t="s">
        <v>4</v>
      </c>
      <c r="B21" s="15">
        <f aca="true" t="shared" si="3" ref="B21:J21">SUM(B17:B20)</f>
        <v>1075</v>
      </c>
      <c r="C21" s="16">
        <f t="shared" si="3"/>
        <v>4820</v>
      </c>
      <c r="D21" s="16">
        <f t="shared" si="3"/>
        <v>5895</v>
      </c>
      <c r="E21" s="15">
        <f t="shared" si="3"/>
        <v>201</v>
      </c>
      <c r="F21" s="16">
        <f t="shared" si="3"/>
        <v>1825</v>
      </c>
      <c r="G21" s="16">
        <f t="shared" si="3"/>
        <v>2026</v>
      </c>
      <c r="H21" s="15">
        <f t="shared" si="3"/>
        <v>1276</v>
      </c>
      <c r="I21" s="16">
        <f t="shared" si="3"/>
        <v>6645</v>
      </c>
      <c r="J21" s="16">
        <f t="shared" si="3"/>
        <v>7921</v>
      </c>
    </row>
    <row r="22" spans="1:10" ht="12.75">
      <c r="A22" s="2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12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48</v>
      </c>
      <c r="B24" s="207">
        <v>4637</v>
      </c>
      <c r="C24" s="208">
        <v>6452</v>
      </c>
      <c r="D24" s="204">
        <f>SUM(B24:C24)</f>
        <v>11089</v>
      </c>
      <c r="E24" s="209">
        <v>456</v>
      </c>
      <c r="F24" s="209">
        <v>1241</v>
      </c>
      <c r="G24" s="12">
        <f>SUM(E24:F24)</f>
        <v>1697</v>
      </c>
      <c r="H24" s="11">
        <f aca="true" t="shared" si="4" ref="H24:I27">SUM(B24,E24)</f>
        <v>5093</v>
      </c>
      <c r="I24" s="12">
        <f t="shared" si="4"/>
        <v>7693</v>
      </c>
      <c r="J24" s="12">
        <f>SUM(H24:I24)</f>
        <v>12786</v>
      </c>
    </row>
    <row r="25" spans="1:10" ht="12.75">
      <c r="A25" s="2" t="s">
        <v>8</v>
      </c>
      <c r="B25" s="207">
        <v>16315</v>
      </c>
      <c r="C25" s="208">
        <v>24296</v>
      </c>
      <c r="D25" s="204">
        <f>SUM(B25:C25)</f>
        <v>40611</v>
      </c>
      <c r="E25" s="209">
        <v>1441</v>
      </c>
      <c r="F25" s="209">
        <v>3035</v>
      </c>
      <c r="G25" s="12">
        <f>SUM(E25:F25)</f>
        <v>4476</v>
      </c>
      <c r="H25" s="11">
        <f t="shared" si="4"/>
        <v>17756</v>
      </c>
      <c r="I25" s="12">
        <f t="shared" si="4"/>
        <v>27331</v>
      </c>
      <c r="J25" s="12">
        <f>SUM(H25:I25)</f>
        <v>45087</v>
      </c>
    </row>
    <row r="26" spans="1:10" ht="12.75">
      <c r="A26" s="2" t="s">
        <v>9</v>
      </c>
      <c r="B26" s="207">
        <v>1157</v>
      </c>
      <c r="C26" s="208">
        <v>1042</v>
      </c>
      <c r="D26" s="204">
        <f>SUM(B26:C26)</f>
        <v>2199</v>
      </c>
      <c r="E26" s="209">
        <v>70</v>
      </c>
      <c r="F26" s="209">
        <v>158</v>
      </c>
      <c r="G26" s="12">
        <f>SUM(E26:F26)</f>
        <v>228</v>
      </c>
      <c r="H26" s="11">
        <f t="shared" si="4"/>
        <v>1227</v>
      </c>
      <c r="I26" s="12">
        <f t="shared" si="4"/>
        <v>1200</v>
      </c>
      <c r="J26" s="12">
        <f>SUM(H26:I26)</f>
        <v>2427</v>
      </c>
    </row>
    <row r="27" spans="1:10" ht="12.75">
      <c r="A27" s="3" t="s">
        <v>10</v>
      </c>
      <c r="B27" s="210">
        <v>1634</v>
      </c>
      <c r="C27" s="211">
        <v>1662</v>
      </c>
      <c r="D27" s="205">
        <f>SUM(B27:C27)</f>
        <v>3296</v>
      </c>
      <c r="E27" s="209">
        <v>118</v>
      </c>
      <c r="F27" s="209">
        <v>270</v>
      </c>
      <c r="G27" s="12">
        <f>SUM(E27:F27)</f>
        <v>388</v>
      </c>
      <c r="H27" s="11">
        <f t="shared" si="4"/>
        <v>1752</v>
      </c>
      <c r="I27" s="12">
        <f t="shared" si="4"/>
        <v>1932</v>
      </c>
      <c r="J27" s="12">
        <f>SUM(H27:I27)</f>
        <v>3684</v>
      </c>
    </row>
    <row r="28" spans="1:10" s="17" customFormat="1" ht="12.75">
      <c r="A28" s="14" t="s">
        <v>4</v>
      </c>
      <c r="B28" s="15">
        <f aca="true" t="shared" si="5" ref="B28:J28">SUM(B24:B27)</f>
        <v>23743</v>
      </c>
      <c r="C28" s="16">
        <f t="shared" si="5"/>
        <v>33452</v>
      </c>
      <c r="D28" s="16">
        <f t="shared" si="5"/>
        <v>57195</v>
      </c>
      <c r="E28" s="15">
        <f t="shared" si="5"/>
        <v>2085</v>
      </c>
      <c r="F28" s="16">
        <f t="shared" si="5"/>
        <v>4704</v>
      </c>
      <c r="G28" s="16">
        <f t="shared" si="5"/>
        <v>6789</v>
      </c>
      <c r="H28" s="15">
        <f t="shared" si="5"/>
        <v>25828</v>
      </c>
      <c r="I28" s="16">
        <f t="shared" si="5"/>
        <v>38156</v>
      </c>
      <c r="J28" s="16">
        <f t="shared" si="5"/>
        <v>63984</v>
      </c>
    </row>
    <row r="29" spans="1:10" ht="12.75">
      <c r="A29" s="3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13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48</v>
      </c>
      <c r="B31" s="207">
        <v>488</v>
      </c>
      <c r="C31" s="208">
        <v>765</v>
      </c>
      <c r="D31" s="204">
        <f>SUM(B31:C31)</f>
        <v>1253</v>
      </c>
      <c r="E31" s="11">
        <v>51</v>
      </c>
      <c r="F31" s="12">
        <v>252</v>
      </c>
      <c r="G31" s="12">
        <f>SUM(E31:F31)</f>
        <v>303</v>
      </c>
      <c r="H31" s="11">
        <f aca="true" t="shared" si="6" ref="H31:I34">SUM(B31,E31)</f>
        <v>539</v>
      </c>
      <c r="I31" s="12">
        <f t="shared" si="6"/>
        <v>1017</v>
      </c>
      <c r="J31" s="12">
        <f>SUM(H31:I31)</f>
        <v>1556</v>
      </c>
    </row>
    <row r="32" spans="1:10" ht="12.75">
      <c r="A32" s="2" t="s">
        <v>8</v>
      </c>
      <c r="B32" s="207">
        <v>1421</v>
      </c>
      <c r="C32" s="208">
        <v>2261</v>
      </c>
      <c r="D32" s="204">
        <f>SUM(B32:C32)</f>
        <v>3682</v>
      </c>
      <c r="E32" s="11">
        <v>127</v>
      </c>
      <c r="F32" s="12">
        <v>465</v>
      </c>
      <c r="G32" s="12">
        <f>SUM(E32:F32)</f>
        <v>592</v>
      </c>
      <c r="H32" s="11">
        <f t="shared" si="6"/>
        <v>1548</v>
      </c>
      <c r="I32" s="12">
        <f t="shared" si="6"/>
        <v>2726</v>
      </c>
      <c r="J32" s="12">
        <f>SUM(H32:I32)</f>
        <v>4274</v>
      </c>
    </row>
    <row r="33" spans="1:10" ht="12.75">
      <c r="A33" s="2" t="s">
        <v>9</v>
      </c>
      <c r="B33" s="207">
        <v>56</v>
      </c>
      <c r="C33" s="208">
        <v>47</v>
      </c>
      <c r="D33" s="204">
        <f>SUM(B33:C33)</f>
        <v>103</v>
      </c>
      <c r="E33" s="13">
        <v>4</v>
      </c>
      <c r="F33" s="12">
        <v>9</v>
      </c>
      <c r="G33" s="12">
        <f>SUM(E33:F33)</f>
        <v>13</v>
      </c>
      <c r="H33" s="13">
        <f t="shared" si="6"/>
        <v>60</v>
      </c>
      <c r="I33" s="12">
        <f t="shared" si="6"/>
        <v>56</v>
      </c>
      <c r="J33" s="12">
        <f>SUM(H33:I33)</f>
        <v>116</v>
      </c>
    </row>
    <row r="34" spans="1:10" ht="12.75">
      <c r="A34" s="2" t="s">
        <v>10</v>
      </c>
      <c r="B34" s="210">
        <v>308</v>
      </c>
      <c r="C34" s="211">
        <v>350</v>
      </c>
      <c r="D34" s="205">
        <f>SUM(B34:C34)</f>
        <v>658</v>
      </c>
      <c r="E34" s="11">
        <v>20</v>
      </c>
      <c r="F34" s="12">
        <v>85</v>
      </c>
      <c r="G34" s="12">
        <f>SUM(E34:F34)</f>
        <v>105</v>
      </c>
      <c r="H34" s="11">
        <f t="shared" si="6"/>
        <v>328</v>
      </c>
      <c r="I34" s="12">
        <f t="shared" si="6"/>
        <v>435</v>
      </c>
      <c r="J34" s="12">
        <f>SUM(H34:I34)</f>
        <v>763</v>
      </c>
    </row>
    <row r="35" spans="1:10" s="17" customFormat="1" ht="12.75">
      <c r="A35" s="19" t="s">
        <v>4</v>
      </c>
      <c r="B35" s="15">
        <f aca="true" t="shared" si="7" ref="B35:J35">SUM(B31:B34)</f>
        <v>2273</v>
      </c>
      <c r="C35" s="16">
        <f t="shared" si="7"/>
        <v>3423</v>
      </c>
      <c r="D35" s="16">
        <f t="shared" si="7"/>
        <v>5696</v>
      </c>
      <c r="E35" s="15">
        <f t="shared" si="7"/>
        <v>202</v>
      </c>
      <c r="F35" s="16">
        <f t="shared" si="7"/>
        <v>811</v>
      </c>
      <c r="G35" s="16">
        <f t="shared" si="7"/>
        <v>1013</v>
      </c>
      <c r="H35" s="15">
        <f t="shared" si="7"/>
        <v>2475</v>
      </c>
      <c r="I35" s="16">
        <f t="shared" si="7"/>
        <v>4234</v>
      </c>
      <c r="J35" s="16">
        <f t="shared" si="7"/>
        <v>6709</v>
      </c>
    </row>
    <row r="36" spans="1:10" ht="12.75">
      <c r="A36" s="2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14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s="17" customFormat="1" ht="12.75">
      <c r="A38" s="19" t="s">
        <v>4</v>
      </c>
      <c r="B38" s="20">
        <v>3922</v>
      </c>
      <c r="C38" s="21">
        <v>3889</v>
      </c>
      <c r="D38" s="21">
        <f>SUM(B38:C38)</f>
        <v>7811</v>
      </c>
      <c r="E38" s="20">
        <v>701</v>
      </c>
      <c r="F38" s="21">
        <v>1326</v>
      </c>
      <c r="G38" s="21">
        <f>SUM(E38:F38)</f>
        <v>2027</v>
      </c>
      <c r="H38" s="20">
        <f>SUM(B38,E38)</f>
        <v>4623</v>
      </c>
      <c r="I38" s="21">
        <f>SUM(C38,F38)</f>
        <v>5215</v>
      </c>
      <c r="J38" s="21">
        <f>SUM(H38:I38)</f>
        <v>9838</v>
      </c>
    </row>
    <row r="39" spans="1:10" s="17" customFormat="1" ht="12.75">
      <c r="A39" s="19"/>
      <c r="B39" s="20"/>
      <c r="C39" s="21"/>
      <c r="D39" s="21"/>
      <c r="E39" s="20"/>
      <c r="F39" s="21"/>
      <c r="G39" s="21"/>
      <c r="H39" s="20"/>
      <c r="I39" s="21"/>
      <c r="J39" s="21"/>
    </row>
    <row r="40" spans="1:10" s="17" customFormat="1" ht="12.75">
      <c r="A40" s="217" t="s">
        <v>74</v>
      </c>
      <c r="B40" s="20"/>
      <c r="C40" s="21"/>
      <c r="D40" s="21"/>
      <c r="E40" s="20"/>
      <c r="F40" s="21"/>
      <c r="G40" s="21"/>
      <c r="H40" s="20"/>
      <c r="I40" s="21"/>
      <c r="J40" s="21"/>
    </row>
    <row r="41" spans="1:10" s="17" customFormat="1" ht="12.75">
      <c r="A41" s="19" t="s">
        <v>4</v>
      </c>
      <c r="B41" s="20">
        <v>99</v>
      </c>
      <c r="C41" s="21">
        <v>465</v>
      </c>
      <c r="D41" s="21">
        <f>SUM(B41:C41)</f>
        <v>564</v>
      </c>
      <c r="E41" s="20">
        <v>5</v>
      </c>
      <c r="F41" s="21">
        <v>50</v>
      </c>
      <c r="G41" s="21">
        <f>SUM(E41:F41)</f>
        <v>55</v>
      </c>
      <c r="H41" s="20">
        <f>B41+E41</f>
        <v>104</v>
      </c>
      <c r="I41" s="21">
        <f>C41+F41</f>
        <v>515</v>
      </c>
      <c r="J41" s="21">
        <f>H41+I41</f>
        <v>619</v>
      </c>
    </row>
    <row r="42" spans="1:10" ht="12.75">
      <c r="A42" s="22"/>
      <c r="B42" s="23"/>
      <c r="C42" s="24"/>
      <c r="D42" s="24"/>
      <c r="E42" s="23"/>
      <c r="F42" s="24"/>
      <c r="G42" s="24"/>
      <c r="H42" s="23"/>
      <c r="I42" s="24"/>
      <c r="J42" s="24"/>
    </row>
    <row r="43" spans="1:10" ht="12.75">
      <c r="A43" s="1" t="s">
        <v>62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48</v>
      </c>
      <c r="B44" s="11">
        <v>557</v>
      </c>
      <c r="C44" s="12">
        <v>868</v>
      </c>
      <c r="D44" s="12">
        <f>SUM(B44:C44)</f>
        <v>1425</v>
      </c>
      <c r="E44" s="11">
        <v>35</v>
      </c>
      <c r="F44" s="12">
        <v>141</v>
      </c>
      <c r="G44" s="12">
        <f>SUM(E44:F44)</f>
        <v>176</v>
      </c>
      <c r="H44" s="11">
        <f aca="true" t="shared" si="8" ref="H44:I47">SUM(B44,E44)</f>
        <v>592</v>
      </c>
      <c r="I44" s="12">
        <f t="shared" si="8"/>
        <v>1009</v>
      </c>
      <c r="J44" s="12">
        <f>SUM(H44:I44)</f>
        <v>1601</v>
      </c>
    </row>
    <row r="45" spans="1:10" ht="12.75">
      <c r="A45" s="2" t="s">
        <v>8</v>
      </c>
      <c r="B45" s="11">
        <v>603</v>
      </c>
      <c r="C45" s="12">
        <v>1115</v>
      </c>
      <c r="D45" s="12">
        <f>SUM(B45:C45)</f>
        <v>1718</v>
      </c>
      <c r="E45" s="11">
        <v>43</v>
      </c>
      <c r="F45" s="12">
        <v>169</v>
      </c>
      <c r="G45" s="12">
        <f>SUM(E45:F45)</f>
        <v>212</v>
      </c>
      <c r="H45" s="11">
        <f t="shared" si="8"/>
        <v>646</v>
      </c>
      <c r="I45" s="12">
        <f t="shared" si="8"/>
        <v>1284</v>
      </c>
      <c r="J45" s="12">
        <f>SUM(H45:I45)</f>
        <v>1930</v>
      </c>
    </row>
    <row r="46" spans="1:10" ht="12.75">
      <c r="A46" s="2" t="s">
        <v>9</v>
      </c>
      <c r="B46" s="11">
        <v>224</v>
      </c>
      <c r="C46" s="12">
        <v>289</v>
      </c>
      <c r="D46" s="12">
        <f>SUM(B46:C46)</f>
        <v>513</v>
      </c>
      <c r="E46" s="11">
        <v>16</v>
      </c>
      <c r="F46" s="12">
        <v>43</v>
      </c>
      <c r="G46" s="12">
        <f>SUM(E46:F46)</f>
        <v>59</v>
      </c>
      <c r="H46" s="11">
        <f t="shared" si="8"/>
        <v>240</v>
      </c>
      <c r="I46" s="12">
        <f t="shared" si="8"/>
        <v>332</v>
      </c>
      <c r="J46" s="12">
        <f>SUM(H46:I46)</f>
        <v>572</v>
      </c>
    </row>
    <row r="47" spans="1:10" ht="12.75">
      <c r="A47" s="2" t="s">
        <v>10</v>
      </c>
      <c r="B47" s="11">
        <v>204</v>
      </c>
      <c r="C47" s="12">
        <v>378</v>
      </c>
      <c r="D47" s="12">
        <f>SUM(B47:C47)</f>
        <v>582</v>
      </c>
      <c r="E47" s="11">
        <v>10</v>
      </c>
      <c r="F47" s="12">
        <v>51</v>
      </c>
      <c r="G47" s="12">
        <f>SUM(E47:F47)</f>
        <v>61</v>
      </c>
      <c r="H47" s="11">
        <f t="shared" si="8"/>
        <v>214</v>
      </c>
      <c r="I47" s="12">
        <f t="shared" si="8"/>
        <v>429</v>
      </c>
      <c r="J47" s="12">
        <f>SUM(H47:I47)</f>
        <v>643</v>
      </c>
    </row>
    <row r="48" spans="1:10" s="17" customFormat="1" ht="12.75">
      <c r="A48" s="19" t="s">
        <v>4</v>
      </c>
      <c r="B48" s="15">
        <f aca="true" t="shared" si="9" ref="B48:J48">SUM(B44:B47)</f>
        <v>1588</v>
      </c>
      <c r="C48" s="16">
        <f t="shared" si="9"/>
        <v>2650</v>
      </c>
      <c r="D48" s="16">
        <f t="shared" si="9"/>
        <v>4238</v>
      </c>
      <c r="E48" s="15">
        <f t="shared" si="9"/>
        <v>104</v>
      </c>
      <c r="F48" s="16">
        <f t="shared" si="9"/>
        <v>404</v>
      </c>
      <c r="G48" s="16">
        <f t="shared" si="9"/>
        <v>508</v>
      </c>
      <c r="H48" s="15">
        <f t="shared" si="9"/>
        <v>1692</v>
      </c>
      <c r="I48" s="16">
        <f t="shared" si="9"/>
        <v>3054</v>
      </c>
      <c r="J48" s="16">
        <f t="shared" si="9"/>
        <v>4746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63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ht="12.75">
      <c r="A51" s="2" t="s">
        <v>48</v>
      </c>
      <c r="B51" s="11">
        <v>121</v>
      </c>
      <c r="C51" s="12">
        <v>89</v>
      </c>
      <c r="D51" s="12">
        <f>SUM(B51:C51)</f>
        <v>210</v>
      </c>
      <c r="E51" s="11">
        <v>3</v>
      </c>
      <c r="F51" s="12">
        <v>9</v>
      </c>
      <c r="G51" s="12">
        <f>SUM(E51:F51)</f>
        <v>12</v>
      </c>
      <c r="H51" s="11">
        <f aca="true" t="shared" si="10" ref="H51:I54">SUM(B51,E51)</f>
        <v>124</v>
      </c>
      <c r="I51" s="12">
        <f t="shared" si="10"/>
        <v>98</v>
      </c>
      <c r="J51" s="12">
        <f>SUM(H51:I51)</f>
        <v>222</v>
      </c>
    </row>
    <row r="52" spans="1:10" ht="12.75">
      <c r="A52" s="2" t="s">
        <v>8</v>
      </c>
      <c r="B52" s="11">
        <v>192</v>
      </c>
      <c r="C52" s="12">
        <v>183</v>
      </c>
      <c r="D52" s="12">
        <f>SUM(B52:C52)</f>
        <v>375</v>
      </c>
      <c r="E52" s="11">
        <v>4</v>
      </c>
      <c r="F52" s="12">
        <v>13</v>
      </c>
      <c r="G52" s="12">
        <f>SUM(E52:F52)</f>
        <v>17</v>
      </c>
      <c r="H52" s="11">
        <f t="shared" si="10"/>
        <v>196</v>
      </c>
      <c r="I52" s="12">
        <f t="shared" si="10"/>
        <v>196</v>
      </c>
      <c r="J52" s="12">
        <f>SUM(H52:I52)</f>
        <v>392</v>
      </c>
    </row>
    <row r="53" spans="1:10" ht="12.75">
      <c r="A53" s="2" t="s">
        <v>9</v>
      </c>
      <c r="B53" s="11">
        <v>35</v>
      </c>
      <c r="C53" s="12">
        <v>32</v>
      </c>
      <c r="D53" s="12">
        <f>SUM(B53:C53)</f>
        <v>67</v>
      </c>
      <c r="E53" s="11">
        <v>2</v>
      </c>
      <c r="F53" s="12">
        <v>4</v>
      </c>
      <c r="G53" s="12">
        <f>SUM(E53:F53)</f>
        <v>6</v>
      </c>
      <c r="H53" s="11">
        <f t="shared" si="10"/>
        <v>37</v>
      </c>
      <c r="I53" s="12">
        <f t="shared" si="10"/>
        <v>36</v>
      </c>
      <c r="J53" s="12">
        <f>SUM(H53:I53)</f>
        <v>73</v>
      </c>
    </row>
    <row r="54" spans="1:10" ht="12.75">
      <c r="A54" s="2" t="s">
        <v>10</v>
      </c>
      <c r="B54" s="11">
        <v>25</v>
      </c>
      <c r="C54" s="12">
        <v>36</v>
      </c>
      <c r="D54" s="12">
        <f>SUM(B54:C54)</f>
        <v>61</v>
      </c>
      <c r="E54" s="11">
        <v>2</v>
      </c>
      <c r="F54" s="12">
        <v>5</v>
      </c>
      <c r="G54" s="12">
        <f>SUM(E54:F54)</f>
        <v>7</v>
      </c>
      <c r="H54" s="11">
        <f t="shared" si="10"/>
        <v>27</v>
      </c>
      <c r="I54" s="12">
        <f t="shared" si="10"/>
        <v>41</v>
      </c>
      <c r="J54" s="12">
        <f>SUM(H54:I54)</f>
        <v>68</v>
      </c>
    </row>
    <row r="55" spans="1:10" s="17" customFormat="1" ht="12.75">
      <c r="A55" s="19" t="s">
        <v>4</v>
      </c>
      <c r="B55" s="15">
        <f aca="true" t="shared" si="11" ref="B55:J55">SUM(B51:B54)</f>
        <v>373</v>
      </c>
      <c r="C55" s="16">
        <f t="shared" si="11"/>
        <v>340</v>
      </c>
      <c r="D55" s="16">
        <f t="shared" si="11"/>
        <v>713</v>
      </c>
      <c r="E55" s="15">
        <f t="shared" si="11"/>
        <v>11</v>
      </c>
      <c r="F55" s="16">
        <f t="shared" si="11"/>
        <v>31</v>
      </c>
      <c r="G55" s="16">
        <f t="shared" si="11"/>
        <v>42</v>
      </c>
      <c r="H55" s="15">
        <f t="shared" si="11"/>
        <v>384</v>
      </c>
      <c r="I55" s="16">
        <f t="shared" si="11"/>
        <v>371</v>
      </c>
      <c r="J55" s="16">
        <f t="shared" si="11"/>
        <v>755</v>
      </c>
    </row>
    <row r="56" spans="1:10" ht="12.75">
      <c r="A56" s="2"/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1" t="s">
        <v>15</v>
      </c>
      <c r="B57" s="11"/>
      <c r="C57" s="12"/>
      <c r="D57" s="12"/>
      <c r="E57" s="11"/>
      <c r="F57" s="12"/>
      <c r="G57" s="12"/>
      <c r="H57" s="11"/>
      <c r="I57" s="12"/>
      <c r="J57" s="12"/>
    </row>
    <row r="58" spans="1:10" ht="12.75">
      <c r="A58" s="2" t="s">
        <v>48</v>
      </c>
      <c r="B58" s="11">
        <v>143</v>
      </c>
      <c r="C58" s="12">
        <v>156</v>
      </c>
      <c r="D58" s="12">
        <f>SUM(B58:C58)</f>
        <v>299</v>
      </c>
      <c r="E58" s="11">
        <v>8</v>
      </c>
      <c r="F58" s="12">
        <v>18</v>
      </c>
      <c r="G58" s="12">
        <f>SUM(E58:F58)</f>
        <v>26</v>
      </c>
      <c r="H58" s="11">
        <f aca="true" t="shared" si="12" ref="H58:I61">SUM(B58,E58)</f>
        <v>151</v>
      </c>
      <c r="I58" s="12">
        <f t="shared" si="12"/>
        <v>174</v>
      </c>
      <c r="J58" s="12">
        <f>SUM(H58:I58)</f>
        <v>325</v>
      </c>
    </row>
    <row r="59" spans="1:10" ht="12.75">
      <c r="A59" s="2" t="s">
        <v>8</v>
      </c>
      <c r="B59" s="11">
        <v>24</v>
      </c>
      <c r="C59" s="12">
        <v>21</v>
      </c>
      <c r="D59" s="12">
        <f>SUM(B59:C59)</f>
        <v>45</v>
      </c>
      <c r="E59" s="11">
        <v>0</v>
      </c>
      <c r="F59" s="12">
        <v>3</v>
      </c>
      <c r="G59" s="12">
        <f>SUM(E59:F59)</f>
        <v>3</v>
      </c>
      <c r="H59" s="11">
        <f t="shared" si="12"/>
        <v>24</v>
      </c>
      <c r="I59" s="12">
        <f t="shared" si="12"/>
        <v>24</v>
      </c>
      <c r="J59" s="12">
        <f>SUM(H59:I59)</f>
        <v>48</v>
      </c>
    </row>
    <row r="60" spans="1:10" ht="12.75">
      <c r="A60" s="2" t="s">
        <v>9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ht="12.75">
      <c r="A61" s="22" t="s">
        <v>10</v>
      </c>
      <c r="B61" s="11">
        <v>1631</v>
      </c>
      <c r="C61" s="25">
        <v>1949</v>
      </c>
      <c r="D61" s="25">
        <f>SUM(B61:C61)</f>
        <v>3580</v>
      </c>
      <c r="E61" s="11">
        <v>41</v>
      </c>
      <c r="F61" s="25">
        <v>126</v>
      </c>
      <c r="G61" s="25">
        <f>SUM(E61:F61)</f>
        <v>167</v>
      </c>
      <c r="H61" s="11">
        <f t="shared" si="12"/>
        <v>1672</v>
      </c>
      <c r="I61" s="25">
        <f t="shared" si="12"/>
        <v>2075</v>
      </c>
      <c r="J61" s="25">
        <f>SUM(H61:I61)</f>
        <v>3747</v>
      </c>
    </row>
    <row r="62" spans="1:10" s="17" customFormat="1" ht="12.75">
      <c r="A62" s="19" t="s">
        <v>4</v>
      </c>
      <c r="B62" s="15">
        <f aca="true" t="shared" si="13" ref="B62:J62">SUM(B58:B61)</f>
        <v>1798</v>
      </c>
      <c r="C62" s="16">
        <f t="shared" si="13"/>
        <v>2126</v>
      </c>
      <c r="D62" s="16">
        <f t="shared" si="13"/>
        <v>3924</v>
      </c>
      <c r="E62" s="15">
        <f t="shared" si="13"/>
        <v>49</v>
      </c>
      <c r="F62" s="16">
        <f t="shared" si="13"/>
        <v>147</v>
      </c>
      <c r="G62" s="16">
        <f t="shared" si="13"/>
        <v>196</v>
      </c>
      <c r="H62" s="15">
        <f t="shared" si="13"/>
        <v>1847</v>
      </c>
      <c r="I62" s="16">
        <f t="shared" si="13"/>
        <v>2273</v>
      </c>
      <c r="J62" s="16">
        <f t="shared" si="13"/>
        <v>4120</v>
      </c>
    </row>
    <row r="63" spans="1:10" ht="12.75">
      <c r="A63" s="2"/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1" t="s">
        <v>16</v>
      </c>
      <c r="B64" s="11"/>
      <c r="C64" s="12"/>
      <c r="D64" s="12"/>
      <c r="E64" s="11"/>
      <c r="F64" s="12"/>
      <c r="G64" s="12"/>
      <c r="H64" s="11"/>
      <c r="I64" s="12"/>
      <c r="J64" s="12"/>
    </row>
    <row r="65" spans="1:12" ht="12.75">
      <c r="A65" s="2" t="s">
        <v>48</v>
      </c>
      <c r="B65" s="11">
        <v>0</v>
      </c>
      <c r="C65" s="12">
        <v>0</v>
      </c>
      <c r="D65" s="12">
        <f>SUM(B65:C65)</f>
        <v>0</v>
      </c>
      <c r="E65" s="11">
        <v>462</v>
      </c>
      <c r="F65" s="12">
        <v>1579</v>
      </c>
      <c r="G65" s="12">
        <f>SUM(E65:F65)</f>
        <v>2041</v>
      </c>
      <c r="H65" s="11">
        <f aca="true" t="shared" si="14" ref="H65:I69">SUM(B65,E65)</f>
        <v>462</v>
      </c>
      <c r="I65" s="12">
        <f t="shared" si="14"/>
        <v>1579</v>
      </c>
      <c r="J65" s="12">
        <f>SUM(H65:I65)</f>
        <v>2041</v>
      </c>
      <c r="K65" s="12"/>
      <c r="L65" s="12"/>
    </row>
    <row r="66" spans="1:12" ht="12.75">
      <c r="A66" s="2" t="s">
        <v>8</v>
      </c>
      <c r="B66" s="11">
        <v>0</v>
      </c>
      <c r="C66" s="12">
        <v>0</v>
      </c>
      <c r="D66" s="12">
        <f>SUM(B66:C66)</f>
        <v>0</v>
      </c>
      <c r="E66" s="11">
        <v>540</v>
      </c>
      <c r="F66" s="12">
        <v>1818</v>
      </c>
      <c r="G66" s="12">
        <f>SUM(E66:F66)</f>
        <v>2358</v>
      </c>
      <c r="H66" s="11">
        <f t="shared" si="14"/>
        <v>540</v>
      </c>
      <c r="I66" s="12">
        <f t="shared" si="14"/>
        <v>1818</v>
      </c>
      <c r="J66" s="12">
        <f>SUM(H66:I66)</f>
        <v>2358</v>
      </c>
      <c r="K66" s="12"/>
      <c r="L66" s="12"/>
    </row>
    <row r="67" spans="1:12" ht="12.75">
      <c r="A67" s="2" t="s">
        <v>9</v>
      </c>
      <c r="B67" s="11">
        <v>0</v>
      </c>
      <c r="C67" s="12">
        <v>0</v>
      </c>
      <c r="D67" s="12">
        <f>SUM(B67:C67)</f>
        <v>0</v>
      </c>
      <c r="E67" s="11">
        <v>15</v>
      </c>
      <c r="F67" s="12">
        <v>49</v>
      </c>
      <c r="G67" s="12">
        <f>SUM(E67:F67)</f>
        <v>64</v>
      </c>
      <c r="H67" s="11">
        <f t="shared" si="14"/>
        <v>15</v>
      </c>
      <c r="I67" s="12">
        <f t="shared" si="14"/>
        <v>49</v>
      </c>
      <c r="J67" s="12">
        <f>SUM(H67:I67)</f>
        <v>64</v>
      </c>
      <c r="K67" s="12"/>
      <c r="L67" s="12"/>
    </row>
    <row r="68" spans="1:10" ht="12.75">
      <c r="A68" s="22" t="s">
        <v>10</v>
      </c>
      <c r="B68" s="11">
        <v>0</v>
      </c>
      <c r="C68" s="25">
        <v>0</v>
      </c>
      <c r="D68" s="25">
        <f>SUM(B68:C68)</f>
        <v>0</v>
      </c>
      <c r="E68" s="11">
        <v>66</v>
      </c>
      <c r="F68" s="25">
        <v>185</v>
      </c>
      <c r="G68" s="25">
        <f>SUM(E68:F68)</f>
        <v>251</v>
      </c>
      <c r="H68" s="11">
        <f t="shared" si="14"/>
        <v>66</v>
      </c>
      <c r="I68" s="25">
        <f t="shared" si="14"/>
        <v>185</v>
      </c>
      <c r="J68" s="25">
        <f>SUM(H68:I68)</f>
        <v>251</v>
      </c>
    </row>
    <row r="69" spans="1:10" ht="12.75">
      <c r="A69" s="22" t="s">
        <v>17</v>
      </c>
      <c r="B69" s="11">
        <v>0</v>
      </c>
      <c r="C69" s="25">
        <v>0</v>
      </c>
      <c r="D69" s="25">
        <f>SUM(B69:C69)</f>
        <v>0</v>
      </c>
      <c r="E69" s="11">
        <v>192</v>
      </c>
      <c r="F69" s="25">
        <v>127</v>
      </c>
      <c r="G69" s="25">
        <f>SUM(E69:F69)</f>
        <v>319</v>
      </c>
      <c r="H69" s="11">
        <f t="shared" si="14"/>
        <v>192</v>
      </c>
      <c r="I69" s="25">
        <f t="shared" si="14"/>
        <v>127</v>
      </c>
      <c r="J69" s="25">
        <f>SUM(H69:I69)</f>
        <v>319</v>
      </c>
    </row>
    <row r="70" spans="1:10" s="17" customFormat="1" ht="12.75">
      <c r="A70" s="19" t="s">
        <v>4</v>
      </c>
      <c r="B70" s="15">
        <f>SUM(B65:B69)</f>
        <v>0</v>
      </c>
      <c r="C70" s="16">
        <f aca="true" t="shared" si="15" ref="C70:J70">SUM(C65:C69)</f>
        <v>0</v>
      </c>
      <c r="D70" s="16">
        <f t="shared" si="15"/>
        <v>0</v>
      </c>
      <c r="E70" s="15">
        <f t="shared" si="15"/>
        <v>1275</v>
      </c>
      <c r="F70" s="16">
        <f t="shared" si="15"/>
        <v>3758</v>
      </c>
      <c r="G70" s="16">
        <f t="shared" si="15"/>
        <v>5033</v>
      </c>
      <c r="H70" s="15">
        <f t="shared" si="15"/>
        <v>1275</v>
      </c>
      <c r="I70" s="16">
        <f t="shared" si="15"/>
        <v>3758</v>
      </c>
      <c r="J70" s="16">
        <f t="shared" si="15"/>
        <v>5033</v>
      </c>
    </row>
    <row r="71" spans="1:10" s="17" customFormat="1" ht="12.75">
      <c r="A71" s="19"/>
      <c r="B71" s="20"/>
      <c r="C71" s="21"/>
      <c r="D71" s="21"/>
      <c r="E71" s="20"/>
      <c r="F71" s="21"/>
      <c r="G71" s="21"/>
      <c r="H71" s="20"/>
      <c r="I71" s="21"/>
      <c r="J71" s="21"/>
    </row>
    <row r="72" spans="1:10" s="26" customFormat="1" ht="26.25">
      <c r="A72" s="218" t="s">
        <v>75</v>
      </c>
      <c r="B72" s="23">
        <f>SUM(B70,B62,B55,B48,B38,B35,B28,B21,B14)</f>
        <v>42277</v>
      </c>
      <c r="C72" s="24">
        <f aca="true" t="shared" si="16" ref="C72:J72">SUM(C70,C62,C55,C48,C38,C35,C28,C21,C14)</f>
        <v>89783</v>
      </c>
      <c r="D72" s="24">
        <f t="shared" si="16"/>
        <v>132060</v>
      </c>
      <c r="E72" s="23">
        <f t="shared" si="16"/>
        <v>5208</v>
      </c>
      <c r="F72" s="24">
        <f t="shared" si="16"/>
        <v>16820</v>
      </c>
      <c r="G72" s="24">
        <f t="shared" si="16"/>
        <v>22028</v>
      </c>
      <c r="H72" s="23">
        <f t="shared" si="16"/>
        <v>47485</v>
      </c>
      <c r="I72" s="24">
        <f t="shared" si="16"/>
        <v>106603</v>
      </c>
      <c r="J72" s="24">
        <f t="shared" si="16"/>
        <v>154088</v>
      </c>
    </row>
    <row r="73" spans="1:10" ht="12.75">
      <c r="A73" s="22"/>
      <c r="B73" s="11"/>
      <c r="C73" s="25"/>
      <c r="D73" s="204"/>
      <c r="E73" s="11"/>
      <c r="F73" s="25"/>
      <c r="G73" s="204"/>
      <c r="H73" s="11"/>
      <c r="I73" s="25"/>
      <c r="J73" s="25"/>
    </row>
    <row r="74" spans="1:10" ht="26.25">
      <c r="A74" s="218" t="s">
        <v>76</v>
      </c>
      <c r="B74" s="23">
        <f>SUM(B70,B62,B55,B48,B38,B35,B28,B21,B14,B41)</f>
        <v>42376</v>
      </c>
      <c r="C74" s="24">
        <f aca="true" t="shared" si="17" ref="C74:J74">SUM(C70,C62,C55,C48,C38,C35,C28,C21,C14,C41)</f>
        <v>90248</v>
      </c>
      <c r="D74" s="219">
        <f t="shared" si="17"/>
        <v>132624</v>
      </c>
      <c r="E74" s="23">
        <f t="shared" si="17"/>
        <v>5213</v>
      </c>
      <c r="F74" s="24">
        <f t="shared" si="17"/>
        <v>16870</v>
      </c>
      <c r="G74" s="219">
        <f t="shared" si="17"/>
        <v>22083</v>
      </c>
      <c r="H74" s="23">
        <f t="shared" si="17"/>
        <v>47589</v>
      </c>
      <c r="I74" s="24">
        <f t="shared" si="17"/>
        <v>107118</v>
      </c>
      <c r="J74" s="24">
        <f t="shared" si="17"/>
        <v>154707</v>
      </c>
    </row>
    <row r="75" spans="1:10" ht="12.75">
      <c r="A75" s="22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.75">
      <c r="A76" s="188" t="s">
        <v>18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7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K76" sqref="K76"/>
    </sheetView>
  </sheetViews>
  <sheetFormatPr defaultColWidth="9.140625" defaultRowHeight="12.75"/>
  <cols>
    <col min="1" max="1" width="32.28125" style="28" customWidth="1"/>
    <col min="2" max="9" width="10.140625" style="28" customWidth="1"/>
    <col min="10" max="16384" width="9.140625" style="28" customWidth="1"/>
  </cols>
  <sheetData>
    <row r="1" ht="12.75">
      <c r="A1" s="27" t="s">
        <v>65</v>
      </c>
    </row>
    <row r="2" spans="1:9" ht="12.75">
      <c r="A2" s="30" t="s">
        <v>19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2"/>
      <c r="B3" s="33"/>
      <c r="C3" s="33"/>
      <c r="D3" s="33"/>
      <c r="E3" s="33"/>
      <c r="F3" s="33"/>
      <c r="G3" s="33"/>
      <c r="H3" s="33"/>
      <c r="I3" s="33"/>
    </row>
    <row r="4" spans="1:9" ht="12.75">
      <c r="A4" s="30" t="s">
        <v>68</v>
      </c>
      <c r="B4" s="31"/>
      <c r="C4" s="31"/>
      <c r="D4" s="31"/>
      <c r="E4" s="31"/>
      <c r="F4" s="31"/>
      <c r="G4" s="31"/>
      <c r="H4" s="31"/>
      <c r="I4" s="31"/>
    </row>
    <row r="5" ht="13.5" thickBot="1">
      <c r="A5" s="29"/>
    </row>
    <row r="6" spans="1:9" ht="12.75">
      <c r="A6" s="34"/>
      <c r="B6" s="35"/>
      <c r="C6" s="35"/>
      <c r="D6" s="35"/>
      <c r="E6" s="35"/>
      <c r="F6" s="35"/>
      <c r="G6" s="35"/>
      <c r="H6" s="35"/>
      <c r="I6" s="35"/>
    </row>
    <row r="7" spans="1:9" s="150" customFormat="1" ht="12.75">
      <c r="A7" s="148"/>
      <c r="B7" s="149" t="s">
        <v>20</v>
      </c>
      <c r="C7" s="149" t="s">
        <v>49</v>
      </c>
      <c r="D7" s="149" t="s">
        <v>50</v>
      </c>
      <c r="E7" s="149" t="s">
        <v>53</v>
      </c>
      <c r="F7" s="149" t="s">
        <v>54</v>
      </c>
      <c r="G7" s="149" t="s">
        <v>55</v>
      </c>
      <c r="H7" s="149" t="s">
        <v>56</v>
      </c>
      <c r="I7" s="149" t="s">
        <v>67</v>
      </c>
    </row>
    <row r="8" spans="1:9" ht="12.75">
      <c r="A8" s="36"/>
      <c r="B8" s="37"/>
      <c r="C8" s="37"/>
      <c r="D8" s="37"/>
      <c r="E8" s="37"/>
      <c r="F8" s="37"/>
      <c r="G8" s="37"/>
      <c r="H8" s="37"/>
      <c r="I8" s="37"/>
    </row>
    <row r="9" spans="1:9" ht="12.75">
      <c r="A9" s="27"/>
      <c r="B9" s="38"/>
      <c r="C9" s="38"/>
      <c r="D9" s="38"/>
      <c r="E9" s="38"/>
      <c r="F9" s="38"/>
      <c r="G9" s="38"/>
      <c r="H9" s="38"/>
      <c r="I9" s="38"/>
    </row>
    <row r="10" spans="1:9" ht="12.75">
      <c r="A10" s="27" t="s">
        <v>7</v>
      </c>
      <c r="B10" s="37"/>
      <c r="C10" s="37"/>
      <c r="D10" s="37"/>
      <c r="E10" s="37"/>
      <c r="F10" s="37"/>
      <c r="G10" s="37"/>
      <c r="H10" s="37"/>
      <c r="I10" s="37"/>
    </row>
    <row r="11" spans="1:9" ht="12.75">
      <c r="A11" s="29" t="s">
        <v>21</v>
      </c>
      <c r="B11" s="39">
        <v>33730</v>
      </c>
      <c r="C11" s="39">
        <v>34406</v>
      </c>
      <c r="D11" s="39">
        <v>35424</v>
      </c>
      <c r="E11" s="39">
        <v>34936</v>
      </c>
      <c r="F11" s="39">
        <v>35181</v>
      </c>
      <c r="G11" s="39">
        <v>34489</v>
      </c>
      <c r="H11" s="39">
        <v>34147</v>
      </c>
      <c r="I11" s="39">
        <v>33936</v>
      </c>
    </row>
    <row r="12" spans="1:9" ht="12.75">
      <c r="A12" s="29" t="s">
        <v>22</v>
      </c>
      <c r="B12" s="39">
        <f>12621+17+19</f>
        <v>12657</v>
      </c>
      <c r="C12" s="39">
        <f>12585+16+19</f>
        <v>12620</v>
      </c>
      <c r="D12" s="39">
        <v>11822</v>
      </c>
      <c r="E12" s="39">
        <v>11918</v>
      </c>
      <c r="F12" s="39">
        <v>11298</v>
      </c>
      <c r="G12" s="39">
        <v>11530</v>
      </c>
      <c r="H12" s="39">
        <v>12081</v>
      </c>
      <c r="I12" s="39">
        <v>12652</v>
      </c>
    </row>
    <row r="13" spans="1:9" s="42" customFormat="1" ht="12.75">
      <c r="A13" s="40" t="s">
        <v>4</v>
      </c>
      <c r="B13" s="41">
        <f aca="true" t="shared" si="0" ref="B13:I13">SUM(B11:B12)</f>
        <v>46387</v>
      </c>
      <c r="C13" s="41">
        <f t="shared" si="0"/>
        <v>47026</v>
      </c>
      <c r="D13" s="41">
        <f t="shared" si="0"/>
        <v>47246</v>
      </c>
      <c r="E13" s="41">
        <f t="shared" si="0"/>
        <v>46854</v>
      </c>
      <c r="F13" s="41">
        <f t="shared" si="0"/>
        <v>46479</v>
      </c>
      <c r="G13" s="41">
        <f t="shared" si="0"/>
        <v>46019</v>
      </c>
      <c r="H13" s="41">
        <f t="shared" si="0"/>
        <v>46228</v>
      </c>
      <c r="I13" s="41">
        <f t="shared" si="0"/>
        <v>46588</v>
      </c>
    </row>
    <row r="14" spans="1:9" ht="12.75">
      <c r="A14" s="43"/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27" t="s">
        <v>11</v>
      </c>
      <c r="B15" s="39"/>
      <c r="C15" s="39"/>
      <c r="D15" s="39"/>
      <c r="E15" s="39"/>
      <c r="F15" s="39"/>
      <c r="G15" s="39"/>
      <c r="H15" s="39"/>
      <c r="I15" s="39"/>
    </row>
    <row r="16" spans="1:9" ht="12.75">
      <c r="A16" s="29" t="s">
        <v>21</v>
      </c>
      <c r="B16" s="39">
        <v>3843</v>
      </c>
      <c r="C16" s="39">
        <v>3895</v>
      </c>
      <c r="D16" s="39">
        <v>3972</v>
      </c>
      <c r="E16" s="39">
        <v>4026</v>
      </c>
      <c r="F16" s="39">
        <v>4116</v>
      </c>
      <c r="G16" s="39">
        <v>4115</v>
      </c>
      <c r="H16" s="39">
        <v>4129</v>
      </c>
      <c r="I16" s="39">
        <v>4226</v>
      </c>
    </row>
    <row r="17" spans="1:9" ht="12.75">
      <c r="A17" s="29" t="s">
        <v>22</v>
      </c>
      <c r="B17" s="39">
        <f>1269+9+21</f>
        <v>1299</v>
      </c>
      <c r="C17" s="39">
        <f>1337+8+22</f>
        <v>1367</v>
      </c>
      <c r="D17" s="39">
        <v>1406</v>
      </c>
      <c r="E17" s="39">
        <v>1439</v>
      </c>
      <c r="F17" s="39">
        <v>1479</v>
      </c>
      <c r="G17" s="39">
        <v>1569</v>
      </c>
      <c r="H17" s="39">
        <v>1660</v>
      </c>
      <c r="I17" s="39">
        <v>1669</v>
      </c>
    </row>
    <row r="18" spans="1:9" s="42" customFormat="1" ht="12.75">
      <c r="A18" s="40" t="s">
        <v>4</v>
      </c>
      <c r="B18" s="41">
        <f aca="true" t="shared" si="1" ref="B18:I18">SUM(B16:B17)</f>
        <v>5142</v>
      </c>
      <c r="C18" s="41">
        <f t="shared" si="1"/>
        <v>5262</v>
      </c>
      <c r="D18" s="41">
        <f t="shared" si="1"/>
        <v>5378</v>
      </c>
      <c r="E18" s="41">
        <f t="shared" si="1"/>
        <v>5465</v>
      </c>
      <c r="F18" s="41">
        <f t="shared" si="1"/>
        <v>5595</v>
      </c>
      <c r="G18" s="41">
        <f t="shared" si="1"/>
        <v>5684</v>
      </c>
      <c r="H18" s="41">
        <f t="shared" si="1"/>
        <v>5789</v>
      </c>
      <c r="I18" s="41">
        <f t="shared" si="1"/>
        <v>5895</v>
      </c>
    </row>
    <row r="19" spans="1:9" ht="12.75">
      <c r="A19" s="29"/>
      <c r="B19" s="39"/>
      <c r="C19" s="39"/>
      <c r="D19" s="39"/>
      <c r="E19" s="39"/>
      <c r="F19" s="39"/>
      <c r="G19" s="39"/>
      <c r="H19" s="39"/>
      <c r="I19" s="39"/>
    </row>
    <row r="20" spans="1:9" ht="12.75">
      <c r="A20" s="27" t="s">
        <v>12</v>
      </c>
      <c r="B20" s="39"/>
      <c r="C20" s="39"/>
      <c r="D20" s="39"/>
      <c r="E20" s="39"/>
      <c r="F20" s="39"/>
      <c r="G20" s="39"/>
      <c r="H20" s="39"/>
      <c r="I20" s="39"/>
    </row>
    <row r="21" spans="1:9" ht="12.75">
      <c r="A21" s="29" t="s">
        <v>21</v>
      </c>
      <c r="B21" s="39">
        <v>41357</v>
      </c>
      <c r="C21" s="39">
        <v>41043</v>
      </c>
      <c r="D21" s="39">
        <v>40997</v>
      </c>
      <c r="E21" s="39">
        <v>40992</v>
      </c>
      <c r="F21" s="39">
        <v>41243</v>
      </c>
      <c r="G21" s="39">
        <v>41333</v>
      </c>
      <c r="H21" s="39">
        <v>41563</v>
      </c>
      <c r="I21" s="39">
        <v>41766</v>
      </c>
    </row>
    <row r="22" spans="1:9" ht="12.75">
      <c r="A22" s="29" t="s">
        <v>22</v>
      </c>
      <c r="B22" s="39">
        <f>12561+16+7</f>
        <v>12584</v>
      </c>
      <c r="C22" s="39">
        <f>13800+15+7</f>
        <v>13822</v>
      </c>
      <c r="D22" s="39">
        <v>14385</v>
      </c>
      <c r="E22" s="39">
        <v>14981</v>
      </c>
      <c r="F22" s="39">
        <v>14145</v>
      </c>
      <c r="G22" s="39">
        <v>14501</v>
      </c>
      <c r="H22" s="39">
        <v>14692</v>
      </c>
      <c r="I22" s="39">
        <v>15429</v>
      </c>
    </row>
    <row r="23" spans="1:9" s="42" customFormat="1" ht="12.75">
      <c r="A23" s="40" t="s">
        <v>4</v>
      </c>
      <c r="B23" s="41">
        <f aca="true" t="shared" si="2" ref="B23:I23">SUM(B21:B22)</f>
        <v>53941</v>
      </c>
      <c r="C23" s="41">
        <f t="shared" si="2"/>
        <v>54865</v>
      </c>
      <c r="D23" s="41">
        <f t="shared" si="2"/>
        <v>55382</v>
      </c>
      <c r="E23" s="41">
        <f t="shared" si="2"/>
        <v>55973</v>
      </c>
      <c r="F23" s="41">
        <f t="shared" si="2"/>
        <v>55388</v>
      </c>
      <c r="G23" s="41">
        <f t="shared" si="2"/>
        <v>55834</v>
      </c>
      <c r="H23" s="41">
        <f t="shared" si="2"/>
        <v>56255</v>
      </c>
      <c r="I23" s="41">
        <f t="shared" si="2"/>
        <v>57195</v>
      </c>
    </row>
    <row r="24" spans="1:9" ht="12.75">
      <c r="A24" s="43"/>
      <c r="B24" s="39"/>
      <c r="C24" s="39"/>
      <c r="D24" s="39"/>
      <c r="E24" s="39"/>
      <c r="F24" s="39"/>
      <c r="G24" s="39"/>
      <c r="H24" s="39"/>
      <c r="I24" s="39"/>
    </row>
    <row r="25" spans="1:9" ht="12.75">
      <c r="A25" s="27" t="s">
        <v>13</v>
      </c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29" t="s">
        <v>21</v>
      </c>
      <c r="B26" s="39">
        <v>3521</v>
      </c>
      <c r="C26" s="39">
        <v>3526</v>
      </c>
      <c r="D26" s="39">
        <v>3525</v>
      </c>
      <c r="E26" s="39">
        <v>3542</v>
      </c>
      <c r="F26" s="39">
        <v>3650</v>
      </c>
      <c r="G26" s="39">
        <v>3745</v>
      </c>
      <c r="H26" s="39">
        <v>3848</v>
      </c>
      <c r="I26" s="39">
        <v>3981</v>
      </c>
    </row>
    <row r="27" spans="1:9" ht="12.75">
      <c r="A27" s="29" t="s">
        <v>22</v>
      </c>
      <c r="B27" s="39">
        <f>1095+10</f>
        <v>1105</v>
      </c>
      <c r="C27" s="39">
        <f>1187+11</f>
        <v>1198</v>
      </c>
      <c r="D27" s="39">
        <v>1302</v>
      </c>
      <c r="E27" s="39">
        <v>1393</v>
      </c>
      <c r="F27" s="39">
        <v>1470</v>
      </c>
      <c r="G27" s="39">
        <v>1624</v>
      </c>
      <c r="H27" s="39">
        <v>1717</v>
      </c>
      <c r="I27" s="39">
        <v>1715</v>
      </c>
    </row>
    <row r="28" spans="1:9" s="42" customFormat="1" ht="12.75">
      <c r="A28" s="40" t="s">
        <v>4</v>
      </c>
      <c r="B28" s="41">
        <f aca="true" t="shared" si="3" ref="B28:I28">SUM(B26:B27)</f>
        <v>4626</v>
      </c>
      <c r="C28" s="41">
        <f t="shared" si="3"/>
        <v>4724</v>
      </c>
      <c r="D28" s="41">
        <f t="shared" si="3"/>
        <v>4827</v>
      </c>
      <c r="E28" s="41">
        <f t="shared" si="3"/>
        <v>4935</v>
      </c>
      <c r="F28" s="41">
        <f t="shared" si="3"/>
        <v>5120</v>
      </c>
      <c r="G28" s="41">
        <f t="shared" si="3"/>
        <v>5369</v>
      </c>
      <c r="H28" s="41">
        <f t="shared" si="3"/>
        <v>5565</v>
      </c>
      <c r="I28" s="41">
        <f t="shared" si="3"/>
        <v>5696</v>
      </c>
    </row>
    <row r="29" spans="1:9" ht="12.75">
      <c r="A29" s="29"/>
      <c r="B29" s="39"/>
      <c r="C29" s="39"/>
      <c r="D29" s="39"/>
      <c r="E29" s="39"/>
      <c r="F29" s="39"/>
      <c r="G29" s="39"/>
      <c r="H29" s="39"/>
      <c r="I29" s="39"/>
    </row>
    <row r="30" spans="1:9" ht="12.75">
      <c r="A30" s="27" t="s">
        <v>14</v>
      </c>
      <c r="B30" s="39"/>
      <c r="C30" s="39"/>
      <c r="D30" s="39"/>
      <c r="E30" s="39"/>
      <c r="F30" s="39"/>
      <c r="G30" s="39"/>
      <c r="H30" s="39"/>
      <c r="I30" s="39"/>
    </row>
    <row r="31" spans="1:9" ht="12.75">
      <c r="A31" s="29" t="s">
        <v>21</v>
      </c>
      <c r="B31" s="39">
        <v>5371</v>
      </c>
      <c r="C31" s="39">
        <v>5389</v>
      </c>
      <c r="D31" s="39">
        <v>4815</v>
      </c>
      <c r="E31" s="39">
        <v>4715</v>
      </c>
      <c r="F31" s="39">
        <v>4706</v>
      </c>
      <c r="G31" s="39">
        <v>4662</v>
      </c>
      <c r="H31" s="39">
        <v>4696</v>
      </c>
      <c r="I31" s="39">
        <v>4674</v>
      </c>
    </row>
    <row r="32" spans="1:9" ht="12.75">
      <c r="A32" s="29" t="s">
        <v>22</v>
      </c>
      <c r="B32" s="39">
        <v>2768</v>
      </c>
      <c r="C32" s="39">
        <v>2584</v>
      </c>
      <c r="D32" s="39">
        <v>2647</v>
      </c>
      <c r="E32" s="39">
        <v>2759</v>
      </c>
      <c r="F32" s="39">
        <v>2792</v>
      </c>
      <c r="G32" s="39">
        <v>2881</v>
      </c>
      <c r="H32" s="39">
        <v>2941</v>
      </c>
      <c r="I32" s="39">
        <v>3137</v>
      </c>
    </row>
    <row r="33" spans="1:9" s="42" customFormat="1" ht="12.75">
      <c r="A33" s="40" t="s">
        <v>4</v>
      </c>
      <c r="B33" s="41">
        <f aca="true" t="shared" si="4" ref="B33:I33">SUM(B31:B32)</f>
        <v>8139</v>
      </c>
      <c r="C33" s="41">
        <f t="shared" si="4"/>
        <v>7973</v>
      </c>
      <c r="D33" s="41">
        <f t="shared" si="4"/>
        <v>7462</v>
      </c>
      <c r="E33" s="41">
        <f t="shared" si="4"/>
        <v>7474</v>
      </c>
      <c r="F33" s="41">
        <f t="shared" si="4"/>
        <v>7498</v>
      </c>
      <c r="G33" s="41">
        <f t="shared" si="4"/>
        <v>7543</v>
      </c>
      <c r="H33" s="41">
        <f t="shared" si="4"/>
        <v>7637</v>
      </c>
      <c r="I33" s="41">
        <f t="shared" si="4"/>
        <v>7811</v>
      </c>
    </row>
    <row r="34" spans="1:9" s="42" customFormat="1" ht="12.75">
      <c r="A34" s="40"/>
      <c r="B34" s="44"/>
      <c r="C34" s="44"/>
      <c r="D34" s="44"/>
      <c r="E34" s="44"/>
      <c r="F34" s="44"/>
      <c r="G34" s="44"/>
      <c r="H34" s="44"/>
      <c r="I34" s="44"/>
    </row>
    <row r="35" spans="1:9" s="42" customFormat="1" ht="12.75">
      <c r="A35" s="220" t="s">
        <v>74</v>
      </c>
      <c r="B35" s="44"/>
      <c r="C35" s="44"/>
      <c r="D35" s="44"/>
      <c r="E35" s="44"/>
      <c r="F35" s="44"/>
      <c r="G35" s="44"/>
      <c r="H35" s="44"/>
      <c r="I35" s="44"/>
    </row>
    <row r="36" spans="1:9" s="42" customFormat="1" ht="12.75">
      <c r="A36" s="29" t="s">
        <v>21</v>
      </c>
      <c r="B36" s="44"/>
      <c r="C36" s="44"/>
      <c r="D36" s="44"/>
      <c r="E36" s="44"/>
      <c r="F36" s="44"/>
      <c r="G36" s="44"/>
      <c r="H36" s="44"/>
      <c r="I36" s="44">
        <v>0</v>
      </c>
    </row>
    <row r="37" spans="1:9" s="42" customFormat="1" ht="12.75">
      <c r="A37" s="29" t="s">
        <v>22</v>
      </c>
      <c r="B37" s="44"/>
      <c r="C37" s="44"/>
      <c r="D37" s="44"/>
      <c r="E37" s="44"/>
      <c r="F37" s="44"/>
      <c r="G37" s="44"/>
      <c r="H37" s="44"/>
      <c r="I37" s="39">
        <v>564</v>
      </c>
    </row>
    <row r="38" spans="1:9" s="42" customFormat="1" ht="12.75">
      <c r="A38" s="40" t="s">
        <v>4</v>
      </c>
      <c r="B38" s="41"/>
      <c r="C38" s="41"/>
      <c r="D38" s="41"/>
      <c r="E38" s="41"/>
      <c r="F38" s="41"/>
      <c r="G38" s="41"/>
      <c r="H38" s="41"/>
      <c r="I38" s="41">
        <f>I36+I37</f>
        <v>564</v>
      </c>
    </row>
    <row r="39" spans="1:9" ht="12.75">
      <c r="A39" s="29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1" t="s">
        <v>62</v>
      </c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29" t="s">
        <v>21</v>
      </c>
      <c r="B41" s="39">
        <v>1539</v>
      </c>
      <c r="C41" s="39">
        <v>1703</v>
      </c>
      <c r="D41" s="39">
        <v>1928</v>
      </c>
      <c r="E41" s="39">
        <v>2120</v>
      </c>
      <c r="F41" s="39">
        <v>2279</v>
      </c>
      <c r="G41" s="39">
        <v>2434</v>
      </c>
      <c r="H41" s="39">
        <v>2532</v>
      </c>
      <c r="I41" s="39">
        <v>2595</v>
      </c>
    </row>
    <row r="42" spans="1:9" ht="12.75">
      <c r="A42" s="29" t="s">
        <v>22</v>
      </c>
      <c r="B42" s="39">
        <v>1691</v>
      </c>
      <c r="C42" s="39">
        <v>1767</v>
      </c>
      <c r="D42" s="39">
        <v>1763</v>
      </c>
      <c r="E42" s="39">
        <v>1795</v>
      </c>
      <c r="F42" s="39">
        <v>1627</v>
      </c>
      <c r="G42" s="39">
        <v>1688</v>
      </c>
      <c r="H42" s="39">
        <v>1615</v>
      </c>
      <c r="I42" s="39">
        <v>1643</v>
      </c>
    </row>
    <row r="43" spans="1:9" s="42" customFormat="1" ht="12.75">
      <c r="A43" s="40" t="s">
        <v>4</v>
      </c>
      <c r="B43" s="41">
        <f aca="true" t="shared" si="5" ref="B43:I43">SUM(B41:B42)</f>
        <v>3230</v>
      </c>
      <c r="C43" s="41">
        <f t="shared" si="5"/>
        <v>3470</v>
      </c>
      <c r="D43" s="41">
        <f t="shared" si="5"/>
        <v>3691</v>
      </c>
      <c r="E43" s="41">
        <f t="shared" si="5"/>
        <v>3915</v>
      </c>
      <c r="F43" s="41">
        <f t="shared" si="5"/>
        <v>3906</v>
      </c>
      <c r="G43" s="41">
        <f t="shared" si="5"/>
        <v>4122</v>
      </c>
      <c r="H43" s="41">
        <f t="shared" si="5"/>
        <v>4147</v>
      </c>
      <c r="I43" s="41">
        <f t="shared" si="5"/>
        <v>4238</v>
      </c>
    </row>
    <row r="44" spans="1:9" ht="12.75">
      <c r="A44" s="29"/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1" t="s">
        <v>63</v>
      </c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29" t="s">
        <v>21</v>
      </c>
      <c r="B46" s="39">
        <v>252</v>
      </c>
      <c r="C46" s="39">
        <v>266</v>
      </c>
      <c r="D46" s="39">
        <v>296</v>
      </c>
      <c r="E46" s="39">
        <v>311</v>
      </c>
      <c r="F46" s="39">
        <v>332</v>
      </c>
      <c r="G46" s="39">
        <v>355</v>
      </c>
      <c r="H46" s="39">
        <v>369</v>
      </c>
      <c r="I46" s="39">
        <v>380</v>
      </c>
    </row>
    <row r="47" spans="1:9" ht="12.75">
      <c r="A47" s="29" t="s">
        <v>22</v>
      </c>
      <c r="B47" s="39">
        <v>341</v>
      </c>
      <c r="C47" s="39">
        <v>372</v>
      </c>
      <c r="D47" s="39">
        <v>373</v>
      </c>
      <c r="E47" s="39">
        <v>368</v>
      </c>
      <c r="F47" s="39">
        <v>345</v>
      </c>
      <c r="G47" s="39">
        <v>347</v>
      </c>
      <c r="H47" s="39">
        <v>354</v>
      </c>
      <c r="I47" s="39">
        <v>333</v>
      </c>
    </row>
    <row r="48" spans="1:9" s="42" customFormat="1" ht="12.75">
      <c r="A48" s="40" t="s">
        <v>4</v>
      </c>
      <c r="B48" s="41">
        <f aca="true" t="shared" si="6" ref="B48:I48">SUM(B46:B47)</f>
        <v>593</v>
      </c>
      <c r="C48" s="41">
        <f t="shared" si="6"/>
        <v>638</v>
      </c>
      <c r="D48" s="41">
        <f t="shared" si="6"/>
        <v>669</v>
      </c>
      <c r="E48" s="41">
        <f t="shared" si="6"/>
        <v>679</v>
      </c>
      <c r="F48" s="41">
        <f t="shared" si="6"/>
        <v>677</v>
      </c>
      <c r="G48" s="41">
        <f t="shared" si="6"/>
        <v>702</v>
      </c>
      <c r="H48" s="41">
        <f t="shared" si="6"/>
        <v>723</v>
      </c>
      <c r="I48" s="41">
        <f t="shared" si="6"/>
        <v>713</v>
      </c>
    </row>
    <row r="49" spans="1:9" s="42" customFormat="1" ht="12.75">
      <c r="A49" s="40"/>
      <c r="B49" s="44"/>
      <c r="C49" s="44"/>
      <c r="D49" s="44"/>
      <c r="E49" s="44"/>
      <c r="F49" s="44"/>
      <c r="G49" s="44"/>
      <c r="H49" s="44"/>
      <c r="I49" s="44"/>
    </row>
    <row r="50" spans="1:9" ht="12.75">
      <c r="A50" s="27" t="s">
        <v>15</v>
      </c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29" t="s">
        <v>21</v>
      </c>
      <c r="B51" s="39">
        <v>2553</v>
      </c>
      <c r="C51" s="39">
        <v>2596</v>
      </c>
      <c r="D51" s="39">
        <v>2653</v>
      </c>
      <c r="E51" s="39">
        <v>2695</v>
      </c>
      <c r="F51" s="39">
        <v>2742</v>
      </c>
      <c r="G51" s="39">
        <v>2784</v>
      </c>
      <c r="H51" s="39">
        <v>2870</v>
      </c>
      <c r="I51" s="39">
        <v>2913</v>
      </c>
    </row>
    <row r="52" spans="1:9" ht="12.75">
      <c r="A52" s="29" t="s">
        <v>22</v>
      </c>
      <c r="B52" s="39">
        <v>645</v>
      </c>
      <c r="C52" s="39">
        <v>744</v>
      </c>
      <c r="D52" s="39">
        <v>811</v>
      </c>
      <c r="E52" s="39">
        <v>851</v>
      </c>
      <c r="F52" s="39">
        <v>916</v>
      </c>
      <c r="G52" s="39">
        <v>992</v>
      </c>
      <c r="H52" s="39">
        <v>1015</v>
      </c>
      <c r="I52" s="39">
        <v>1011</v>
      </c>
    </row>
    <row r="53" spans="1:9" s="42" customFormat="1" ht="12.75">
      <c r="A53" s="40" t="s">
        <v>4</v>
      </c>
      <c r="B53" s="41">
        <f aca="true" t="shared" si="7" ref="B53:I53">SUM(B51:B52)</f>
        <v>3198</v>
      </c>
      <c r="C53" s="41">
        <f t="shared" si="7"/>
        <v>3340</v>
      </c>
      <c r="D53" s="41">
        <f t="shared" si="7"/>
        <v>3464</v>
      </c>
      <c r="E53" s="41">
        <f t="shared" si="7"/>
        <v>3546</v>
      </c>
      <c r="F53" s="41">
        <f t="shared" si="7"/>
        <v>3658</v>
      </c>
      <c r="G53" s="41">
        <f t="shared" si="7"/>
        <v>3776</v>
      </c>
      <c r="H53" s="41">
        <f t="shared" si="7"/>
        <v>3885</v>
      </c>
      <c r="I53" s="41">
        <f t="shared" si="7"/>
        <v>3924</v>
      </c>
    </row>
    <row r="54" spans="1:9" ht="12.75">
      <c r="A54" s="183"/>
      <c r="B54" s="184"/>
      <c r="C54" s="184"/>
      <c r="D54" s="184"/>
      <c r="E54" s="184"/>
      <c r="F54" s="184"/>
      <c r="G54" s="184"/>
      <c r="H54" s="184"/>
      <c r="I54" s="184"/>
    </row>
    <row r="55" spans="1:9" ht="12.75">
      <c r="A55" s="45" t="s">
        <v>77</v>
      </c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29" t="s">
        <v>21</v>
      </c>
      <c r="B56" s="39">
        <f aca="true" t="shared" si="8" ref="B56:I57">SUM(B11,B16,B21,B26,B31,B41,B46,B51)</f>
        <v>92166</v>
      </c>
      <c r="C56" s="39">
        <f t="shared" si="8"/>
        <v>92824</v>
      </c>
      <c r="D56" s="39">
        <f t="shared" si="8"/>
        <v>93610</v>
      </c>
      <c r="E56" s="39">
        <f t="shared" si="8"/>
        <v>93337</v>
      </c>
      <c r="F56" s="39">
        <f t="shared" si="8"/>
        <v>94249</v>
      </c>
      <c r="G56" s="39">
        <f t="shared" si="8"/>
        <v>93917</v>
      </c>
      <c r="H56" s="39">
        <f t="shared" si="8"/>
        <v>94154</v>
      </c>
      <c r="I56" s="39">
        <f t="shared" si="8"/>
        <v>94471</v>
      </c>
    </row>
    <row r="57" spans="1:9" ht="12.75">
      <c r="A57" s="29" t="s">
        <v>22</v>
      </c>
      <c r="B57" s="39">
        <f t="shared" si="8"/>
        <v>33090</v>
      </c>
      <c r="C57" s="39">
        <f t="shared" si="8"/>
        <v>34474</v>
      </c>
      <c r="D57" s="39">
        <f t="shared" si="8"/>
        <v>34509</v>
      </c>
      <c r="E57" s="39">
        <f t="shared" si="8"/>
        <v>35504</v>
      </c>
      <c r="F57" s="39">
        <f t="shared" si="8"/>
        <v>34072</v>
      </c>
      <c r="G57" s="39">
        <f t="shared" si="8"/>
        <v>35132</v>
      </c>
      <c r="H57" s="39">
        <f t="shared" si="8"/>
        <v>36075</v>
      </c>
      <c r="I57" s="39">
        <f t="shared" si="8"/>
        <v>37589</v>
      </c>
    </row>
    <row r="58" spans="1:9" s="42" customFormat="1" ht="12.75">
      <c r="A58" s="40" t="s">
        <v>4</v>
      </c>
      <c r="B58" s="41">
        <f aca="true" t="shared" si="9" ref="B58:I58">SUM(B56:B57)</f>
        <v>125256</v>
      </c>
      <c r="C58" s="41">
        <f t="shared" si="9"/>
        <v>127298</v>
      </c>
      <c r="D58" s="41">
        <f t="shared" si="9"/>
        <v>128119</v>
      </c>
      <c r="E58" s="41">
        <f t="shared" si="9"/>
        <v>128841</v>
      </c>
      <c r="F58" s="41">
        <f t="shared" si="9"/>
        <v>128321</v>
      </c>
      <c r="G58" s="41">
        <f t="shared" si="9"/>
        <v>129049</v>
      </c>
      <c r="H58" s="41">
        <f t="shared" si="9"/>
        <v>130229</v>
      </c>
      <c r="I58" s="41">
        <f t="shared" si="9"/>
        <v>132060</v>
      </c>
    </row>
    <row r="59" spans="1:9" ht="12.75">
      <c r="A59" s="232"/>
      <c r="B59" s="233"/>
      <c r="C59" s="234"/>
      <c r="D59" s="234"/>
      <c r="E59" s="234"/>
      <c r="F59" s="234"/>
      <c r="G59" s="234"/>
      <c r="H59" s="235"/>
      <c r="I59" s="233"/>
    </row>
    <row r="60" spans="1:9" ht="12.75">
      <c r="A60" s="45" t="s">
        <v>78</v>
      </c>
      <c r="B60" s="39"/>
      <c r="C60" s="221"/>
      <c r="D60" s="221"/>
      <c r="E60" s="221"/>
      <c r="F60" s="221"/>
      <c r="G60" s="221"/>
      <c r="H60" s="222"/>
      <c r="I60" s="39"/>
    </row>
    <row r="61" spans="1:9" ht="12.75">
      <c r="A61" s="29" t="s">
        <v>21</v>
      </c>
      <c r="B61" s="228"/>
      <c r="C61"/>
      <c r="D61"/>
      <c r="E61"/>
      <c r="F61"/>
      <c r="G61"/>
      <c r="H61"/>
      <c r="I61" s="39">
        <f>SUM(I11,I16,I21,I26,I31,I41,I46,I51,I36)</f>
        <v>94471</v>
      </c>
    </row>
    <row r="62" spans="1:9" ht="12.75">
      <c r="A62" s="29" t="s">
        <v>22</v>
      </c>
      <c r="B62" s="228"/>
      <c r="C62"/>
      <c r="D62"/>
      <c r="E62"/>
      <c r="F62"/>
      <c r="G62"/>
      <c r="H62"/>
      <c r="I62" s="39">
        <f>SUM(I12,I17,I22,I27,I32,I42,I47,I52,I37)</f>
        <v>38153</v>
      </c>
    </row>
    <row r="63" spans="1:9" s="42" customFormat="1" ht="12.75">
      <c r="A63" s="40" t="s">
        <v>4</v>
      </c>
      <c r="B63" s="229"/>
      <c r="C63" s="230"/>
      <c r="D63" s="230"/>
      <c r="E63" s="230"/>
      <c r="F63" s="230"/>
      <c r="G63" s="230"/>
      <c r="H63" s="231"/>
      <c r="I63" s="41">
        <f>SUM(I61:I62)</f>
        <v>132624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orientation="portrait" paperSize="9" scale="8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J72" sqref="J72"/>
    </sheetView>
  </sheetViews>
  <sheetFormatPr defaultColWidth="9.140625" defaultRowHeight="12.75"/>
  <cols>
    <col min="1" max="1" width="30.140625" style="47" customWidth="1"/>
    <col min="2" max="9" width="10.140625" style="47" customWidth="1"/>
    <col min="10" max="16384" width="9.140625" style="47" customWidth="1"/>
  </cols>
  <sheetData>
    <row r="1" ht="12.75">
      <c r="A1" s="46" t="s">
        <v>65</v>
      </c>
    </row>
    <row r="2" spans="1:9" ht="12.75">
      <c r="A2" s="49" t="s">
        <v>23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51"/>
      <c r="B3" s="52"/>
      <c r="C3" s="52"/>
      <c r="D3" s="52"/>
      <c r="E3" s="52"/>
      <c r="F3" s="52"/>
      <c r="G3" s="52"/>
      <c r="H3" s="52"/>
      <c r="I3" s="52"/>
    </row>
    <row r="4" spans="1:9" ht="12.75">
      <c r="A4" s="49" t="s">
        <v>68</v>
      </c>
      <c r="B4" s="50"/>
      <c r="C4" s="50"/>
      <c r="D4" s="50"/>
      <c r="E4" s="50"/>
      <c r="F4" s="50"/>
      <c r="G4" s="50"/>
      <c r="H4" s="50"/>
      <c r="I4" s="50"/>
    </row>
    <row r="5" ht="13.5" thickBot="1">
      <c r="A5" s="48"/>
    </row>
    <row r="6" spans="1:9" ht="12.75">
      <c r="A6" s="53"/>
      <c r="B6" s="54"/>
      <c r="C6" s="54"/>
      <c r="D6" s="54"/>
      <c r="E6" s="54"/>
      <c r="F6" s="54"/>
      <c r="G6" s="54"/>
      <c r="H6" s="54"/>
      <c r="I6" s="54"/>
    </row>
    <row r="7" spans="1:9" s="150" customFormat="1" ht="12.75">
      <c r="A7" s="148"/>
      <c r="B7" s="149" t="s">
        <v>20</v>
      </c>
      <c r="C7" s="149" t="s">
        <v>49</v>
      </c>
      <c r="D7" s="149" t="s">
        <v>50</v>
      </c>
      <c r="E7" s="149" t="s">
        <v>53</v>
      </c>
      <c r="F7" s="149" t="s">
        <v>54</v>
      </c>
      <c r="G7" s="149" t="s">
        <v>55</v>
      </c>
      <c r="H7" s="149" t="s">
        <v>56</v>
      </c>
      <c r="I7" s="149" t="s">
        <v>67</v>
      </c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12.75">
      <c r="A9" s="46"/>
      <c r="B9" s="57"/>
      <c r="C9" s="57"/>
      <c r="D9" s="57"/>
      <c r="E9" s="57"/>
      <c r="F9" s="57"/>
      <c r="G9" s="57"/>
      <c r="H9" s="57"/>
      <c r="I9" s="57"/>
    </row>
    <row r="10" spans="1:9" ht="12.75">
      <c r="A10" s="46" t="s">
        <v>7</v>
      </c>
      <c r="B10" s="56"/>
      <c r="C10" s="56"/>
      <c r="D10" s="56"/>
      <c r="E10" s="56"/>
      <c r="F10" s="56"/>
      <c r="G10" s="56"/>
      <c r="H10" s="56"/>
      <c r="I10" s="56"/>
    </row>
    <row r="11" spans="1:9" ht="12.75">
      <c r="A11" s="48" t="s">
        <v>21</v>
      </c>
      <c r="B11" s="58">
        <v>640</v>
      </c>
      <c r="C11" s="58">
        <v>730</v>
      </c>
      <c r="D11" s="58">
        <v>1626</v>
      </c>
      <c r="E11" s="58">
        <v>1828</v>
      </c>
      <c r="F11" s="58">
        <v>1913</v>
      </c>
      <c r="G11" s="58">
        <v>2384</v>
      </c>
      <c r="H11" s="58">
        <v>2557</v>
      </c>
      <c r="I11" s="58">
        <v>2757</v>
      </c>
    </row>
    <row r="12" spans="1:9" ht="12.75">
      <c r="A12" s="48" t="s">
        <v>22</v>
      </c>
      <c r="B12" s="58">
        <f>900+39+651</f>
        <v>1590</v>
      </c>
      <c r="C12" s="58">
        <f>797+40+645</f>
        <v>1482</v>
      </c>
      <c r="D12" s="58">
        <v>2304</v>
      </c>
      <c r="E12" s="58">
        <v>2100</v>
      </c>
      <c r="F12" s="58">
        <v>2030</v>
      </c>
      <c r="G12" s="58">
        <v>1588</v>
      </c>
      <c r="H12" s="58">
        <v>1543</v>
      </c>
      <c r="I12" s="58">
        <v>1637</v>
      </c>
    </row>
    <row r="13" spans="1:9" s="61" customFormat="1" ht="12.75">
      <c r="A13" s="59" t="s">
        <v>4</v>
      </c>
      <c r="B13" s="60">
        <f aca="true" t="shared" si="0" ref="B13:I13">SUM(B11:B12)</f>
        <v>2230</v>
      </c>
      <c r="C13" s="60">
        <f t="shared" si="0"/>
        <v>2212</v>
      </c>
      <c r="D13" s="60">
        <f t="shared" si="0"/>
        <v>3930</v>
      </c>
      <c r="E13" s="60">
        <f t="shared" si="0"/>
        <v>3928</v>
      </c>
      <c r="F13" s="60">
        <f t="shared" si="0"/>
        <v>3943</v>
      </c>
      <c r="G13" s="60">
        <f t="shared" si="0"/>
        <v>3972</v>
      </c>
      <c r="H13" s="60">
        <f t="shared" si="0"/>
        <v>4100</v>
      </c>
      <c r="I13" s="60">
        <f t="shared" si="0"/>
        <v>4394</v>
      </c>
    </row>
    <row r="14" spans="1:9" ht="12.75">
      <c r="A14" s="62"/>
      <c r="B14" s="58"/>
      <c r="C14" s="58"/>
      <c r="D14" s="58"/>
      <c r="E14" s="58"/>
      <c r="F14" s="58"/>
      <c r="G14" s="58"/>
      <c r="H14" s="58"/>
      <c r="I14" s="58"/>
    </row>
    <row r="15" spans="1:9" ht="12.75">
      <c r="A15" s="46" t="s">
        <v>11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48" t="s">
        <v>21</v>
      </c>
      <c r="B16" s="58">
        <v>1300</v>
      </c>
      <c r="C16" s="58">
        <v>1363</v>
      </c>
      <c r="D16" s="58">
        <v>1517</v>
      </c>
      <c r="E16" s="58">
        <v>1554</v>
      </c>
      <c r="F16" s="58">
        <v>1629</v>
      </c>
      <c r="G16" s="58">
        <v>1698</v>
      </c>
      <c r="H16" s="58">
        <v>1739</v>
      </c>
      <c r="I16" s="58">
        <v>1328</v>
      </c>
    </row>
    <row r="17" spans="1:9" ht="12.75">
      <c r="A17" s="48" t="s">
        <v>22</v>
      </c>
      <c r="B17" s="58">
        <f>567+4+61</f>
        <v>632</v>
      </c>
      <c r="C17" s="58">
        <f>718+2+65</f>
        <v>785</v>
      </c>
      <c r="D17" s="58">
        <v>837</v>
      </c>
      <c r="E17" s="58">
        <v>909</v>
      </c>
      <c r="F17" s="58">
        <v>889</v>
      </c>
      <c r="G17" s="58">
        <v>908</v>
      </c>
      <c r="H17" s="58">
        <v>929</v>
      </c>
      <c r="I17" s="58">
        <v>698</v>
      </c>
    </row>
    <row r="18" spans="1:9" s="61" customFormat="1" ht="12.75">
      <c r="A18" s="59" t="s">
        <v>4</v>
      </c>
      <c r="B18" s="60">
        <f aca="true" t="shared" si="1" ref="B18:I18">SUM(B16:B17)</f>
        <v>1932</v>
      </c>
      <c r="C18" s="60">
        <f t="shared" si="1"/>
        <v>2148</v>
      </c>
      <c r="D18" s="60">
        <f t="shared" si="1"/>
        <v>2354</v>
      </c>
      <c r="E18" s="60">
        <f t="shared" si="1"/>
        <v>2463</v>
      </c>
      <c r="F18" s="60">
        <f t="shared" si="1"/>
        <v>2518</v>
      </c>
      <c r="G18" s="60">
        <f t="shared" si="1"/>
        <v>2606</v>
      </c>
      <c r="H18" s="60">
        <f t="shared" si="1"/>
        <v>2668</v>
      </c>
      <c r="I18" s="60">
        <f t="shared" si="1"/>
        <v>2026</v>
      </c>
    </row>
    <row r="19" spans="1:9" ht="12.75">
      <c r="A19" s="48"/>
      <c r="B19" s="58"/>
      <c r="C19" s="58"/>
      <c r="D19" s="58"/>
      <c r="E19" s="58"/>
      <c r="F19" s="58"/>
      <c r="G19" s="58"/>
      <c r="H19" s="58"/>
      <c r="I19" s="58"/>
    </row>
    <row r="20" spans="1:9" ht="12.75">
      <c r="A20" s="46" t="s">
        <v>12</v>
      </c>
      <c r="B20" s="58"/>
      <c r="C20" s="58"/>
      <c r="D20" s="58"/>
      <c r="E20" s="58"/>
      <c r="F20" s="58"/>
      <c r="G20" s="58"/>
      <c r="H20" s="58"/>
      <c r="I20" s="58"/>
    </row>
    <row r="21" spans="1:9" ht="12.75">
      <c r="A21" s="48" t="s">
        <v>21</v>
      </c>
      <c r="B21" s="58">
        <v>5132</v>
      </c>
      <c r="C21" s="58">
        <v>5100</v>
      </c>
      <c r="D21" s="58">
        <v>5022</v>
      </c>
      <c r="E21" s="58">
        <v>5140</v>
      </c>
      <c r="F21" s="58">
        <v>5145</v>
      </c>
      <c r="G21" s="58">
        <v>5073</v>
      </c>
      <c r="H21" s="58">
        <v>5062</v>
      </c>
      <c r="I21" s="58">
        <v>5021</v>
      </c>
    </row>
    <row r="22" spans="1:9" ht="12.75">
      <c r="A22" s="48" t="s">
        <v>22</v>
      </c>
      <c r="B22" s="58">
        <f>1654+29</f>
        <v>1683</v>
      </c>
      <c r="C22" s="58">
        <f>1842+31</f>
        <v>1873</v>
      </c>
      <c r="D22" s="58">
        <v>1839</v>
      </c>
      <c r="E22" s="58">
        <v>1730</v>
      </c>
      <c r="F22" s="58">
        <v>1584</v>
      </c>
      <c r="G22" s="58">
        <v>1668</v>
      </c>
      <c r="H22" s="58">
        <v>1760</v>
      </c>
      <c r="I22" s="58">
        <v>1768</v>
      </c>
    </row>
    <row r="23" spans="1:9" s="61" customFormat="1" ht="12.75">
      <c r="A23" s="59" t="s">
        <v>4</v>
      </c>
      <c r="B23" s="60">
        <f aca="true" t="shared" si="2" ref="B23:I23">SUM(B21:B22)</f>
        <v>6815</v>
      </c>
      <c r="C23" s="60">
        <f t="shared" si="2"/>
        <v>6973</v>
      </c>
      <c r="D23" s="60">
        <f t="shared" si="2"/>
        <v>6861</v>
      </c>
      <c r="E23" s="60">
        <f t="shared" si="2"/>
        <v>6870</v>
      </c>
      <c r="F23" s="60">
        <f t="shared" si="2"/>
        <v>6729</v>
      </c>
      <c r="G23" s="60">
        <f t="shared" si="2"/>
        <v>6741</v>
      </c>
      <c r="H23" s="60">
        <f t="shared" si="2"/>
        <v>6822</v>
      </c>
      <c r="I23" s="60">
        <f t="shared" si="2"/>
        <v>6789</v>
      </c>
    </row>
    <row r="24" spans="1:9" ht="12.75">
      <c r="A24" s="62"/>
      <c r="B24" s="58"/>
      <c r="C24" s="58"/>
      <c r="D24" s="58"/>
      <c r="E24" s="58"/>
      <c r="F24" s="58"/>
      <c r="G24" s="58"/>
      <c r="H24" s="58"/>
      <c r="I24" s="58"/>
    </row>
    <row r="25" spans="1:9" ht="12.75">
      <c r="A25" s="46" t="s">
        <v>13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48" t="s">
        <v>21</v>
      </c>
      <c r="B26" s="58">
        <v>530</v>
      </c>
      <c r="C26" s="58">
        <v>527</v>
      </c>
      <c r="D26" s="58">
        <v>526</v>
      </c>
      <c r="E26" s="58">
        <v>529</v>
      </c>
      <c r="F26" s="58">
        <v>576</v>
      </c>
      <c r="G26" s="58">
        <v>596</v>
      </c>
      <c r="H26" s="58">
        <v>634</v>
      </c>
      <c r="I26" s="58">
        <v>648</v>
      </c>
    </row>
    <row r="27" spans="1:9" ht="12.75">
      <c r="A27" s="48" t="s">
        <v>22</v>
      </c>
      <c r="B27" s="58">
        <f>154+10</f>
        <v>164</v>
      </c>
      <c r="C27" s="58">
        <f>226+11</f>
        <v>237</v>
      </c>
      <c r="D27" s="58">
        <v>251</v>
      </c>
      <c r="E27" s="58">
        <v>264</v>
      </c>
      <c r="F27" s="58">
        <v>291</v>
      </c>
      <c r="G27" s="58">
        <v>335</v>
      </c>
      <c r="H27" s="58">
        <v>366</v>
      </c>
      <c r="I27" s="58">
        <v>365</v>
      </c>
    </row>
    <row r="28" spans="1:9" s="61" customFormat="1" ht="12.75">
      <c r="A28" s="59" t="s">
        <v>4</v>
      </c>
      <c r="B28" s="60">
        <f aca="true" t="shared" si="3" ref="B28:I28">SUM(B26:B27)</f>
        <v>694</v>
      </c>
      <c r="C28" s="60">
        <f t="shared" si="3"/>
        <v>764</v>
      </c>
      <c r="D28" s="60">
        <f t="shared" si="3"/>
        <v>777</v>
      </c>
      <c r="E28" s="60">
        <f t="shared" si="3"/>
        <v>793</v>
      </c>
      <c r="F28" s="60">
        <f t="shared" si="3"/>
        <v>867</v>
      </c>
      <c r="G28" s="60">
        <f t="shared" si="3"/>
        <v>931</v>
      </c>
      <c r="H28" s="60">
        <f t="shared" si="3"/>
        <v>1000</v>
      </c>
      <c r="I28" s="60">
        <f t="shared" si="3"/>
        <v>1013</v>
      </c>
    </row>
    <row r="29" spans="1:9" ht="12.75">
      <c r="A29" s="48"/>
      <c r="B29" s="58"/>
      <c r="C29" s="58"/>
      <c r="D29" s="58"/>
      <c r="E29" s="58"/>
      <c r="F29" s="58"/>
      <c r="G29" s="58"/>
      <c r="H29" s="58"/>
      <c r="I29" s="58"/>
    </row>
    <row r="30" spans="1:9" ht="12.75">
      <c r="A30" s="46" t="s">
        <v>14</v>
      </c>
      <c r="B30" s="58"/>
      <c r="C30" s="58"/>
      <c r="D30" s="58"/>
      <c r="E30" s="58"/>
      <c r="F30" s="58"/>
      <c r="G30" s="58"/>
      <c r="H30" s="58"/>
      <c r="I30" s="58"/>
    </row>
    <row r="31" spans="1:9" ht="12.75">
      <c r="A31" s="48" t="s">
        <v>21</v>
      </c>
      <c r="B31" s="58">
        <v>1057</v>
      </c>
      <c r="C31" s="58">
        <v>1091</v>
      </c>
      <c r="D31" s="58">
        <v>1100</v>
      </c>
      <c r="E31" s="58">
        <v>1150</v>
      </c>
      <c r="F31" s="58">
        <v>1175</v>
      </c>
      <c r="G31" s="58">
        <v>1211</v>
      </c>
      <c r="H31" s="58">
        <v>1276</v>
      </c>
      <c r="I31" s="58">
        <v>1336</v>
      </c>
    </row>
    <row r="32" spans="1:9" ht="12.75">
      <c r="A32" s="48" t="s">
        <v>22</v>
      </c>
      <c r="B32" s="58">
        <v>508</v>
      </c>
      <c r="C32" s="58">
        <v>498</v>
      </c>
      <c r="D32" s="58">
        <v>535</v>
      </c>
      <c r="E32" s="58">
        <v>530</v>
      </c>
      <c r="F32" s="58">
        <v>563</v>
      </c>
      <c r="G32" s="58">
        <v>600</v>
      </c>
      <c r="H32" s="58">
        <v>648</v>
      </c>
      <c r="I32" s="58">
        <v>691</v>
      </c>
    </row>
    <row r="33" spans="1:9" s="61" customFormat="1" ht="12.75">
      <c r="A33" s="59" t="s">
        <v>4</v>
      </c>
      <c r="B33" s="60">
        <f aca="true" t="shared" si="4" ref="B33:I33">SUM(B31:B32)</f>
        <v>1565</v>
      </c>
      <c r="C33" s="60">
        <f t="shared" si="4"/>
        <v>1589</v>
      </c>
      <c r="D33" s="60">
        <f t="shared" si="4"/>
        <v>1635</v>
      </c>
      <c r="E33" s="60">
        <f t="shared" si="4"/>
        <v>1680</v>
      </c>
      <c r="F33" s="60">
        <f t="shared" si="4"/>
        <v>1738</v>
      </c>
      <c r="G33" s="60">
        <f t="shared" si="4"/>
        <v>1811</v>
      </c>
      <c r="H33" s="60">
        <f t="shared" si="4"/>
        <v>1924</v>
      </c>
      <c r="I33" s="60">
        <f t="shared" si="4"/>
        <v>2027</v>
      </c>
    </row>
    <row r="34" spans="1:9" ht="12.75">
      <c r="A34" s="48"/>
      <c r="B34" s="58"/>
      <c r="C34" s="58"/>
      <c r="D34" s="58"/>
      <c r="E34" s="58"/>
      <c r="F34" s="58"/>
      <c r="G34" s="58"/>
      <c r="H34" s="58"/>
      <c r="I34" s="58"/>
    </row>
    <row r="35" spans="1:9" ht="12.75">
      <c r="A35" s="1" t="s">
        <v>74</v>
      </c>
      <c r="B35" s="58"/>
      <c r="C35" s="58"/>
      <c r="D35" s="58"/>
      <c r="E35" s="58"/>
      <c r="F35" s="58"/>
      <c r="G35" s="58"/>
      <c r="H35" s="58"/>
      <c r="I35" s="58"/>
    </row>
    <row r="36" spans="1:9" ht="12.75">
      <c r="A36" s="48" t="s">
        <v>21</v>
      </c>
      <c r="B36" s="58"/>
      <c r="C36" s="58"/>
      <c r="D36" s="58"/>
      <c r="E36" s="58"/>
      <c r="F36" s="58"/>
      <c r="G36" s="58"/>
      <c r="H36" s="58"/>
      <c r="I36" s="58">
        <v>0</v>
      </c>
    </row>
    <row r="37" spans="1:9" ht="12.75">
      <c r="A37" s="48" t="s">
        <v>22</v>
      </c>
      <c r="B37" s="58"/>
      <c r="C37" s="58"/>
      <c r="D37" s="58"/>
      <c r="E37" s="58"/>
      <c r="F37" s="58"/>
      <c r="G37" s="58"/>
      <c r="H37" s="58"/>
      <c r="I37" s="58">
        <v>55</v>
      </c>
    </row>
    <row r="38" spans="1:9" ht="12.75">
      <c r="A38" s="59" t="s">
        <v>4</v>
      </c>
      <c r="B38" s="236"/>
      <c r="C38" s="236"/>
      <c r="D38" s="236"/>
      <c r="E38" s="236"/>
      <c r="F38" s="236"/>
      <c r="G38" s="236"/>
      <c r="H38" s="237"/>
      <c r="I38" s="60">
        <f>I36+I37</f>
        <v>55</v>
      </c>
    </row>
    <row r="39" spans="1:9" ht="12.75">
      <c r="A39" s="48"/>
      <c r="B39" s="58"/>
      <c r="C39" s="58"/>
      <c r="D39" s="58"/>
      <c r="E39" s="58"/>
      <c r="F39" s="58"/>
      <c r="G39" s="58"/>
      <c r="H39" s="58"/>
      <c r="I39" s="58"/>
    </row>
    <row r="40" spans="1:9" ht="12.75">
      <c r="A40" s="1" t="s">
        <v>62</v>
      </c>
      <c r="B40" s="58"/>
      <c r="C40" s="58"/>
      <c r="D40" s="58"/>
      <c r="E40" s="58"/>
      <c r="F40" s="58"/>
      <c r="G40" s="58"/>
      <c r="H40" s="58"/>
      <c r="I40" s="58"/>
    </row>
    <row r="41" spans="1:9" ht="12.75">
      <c r="A41" s="48" t="s">
        <v>21</v>
      </c>
      <c r="B41" s="58">
        <v>115</v>
      </c>
      <c r="C41" s="58">
        <v>122</v>
      </c>
      <c r="D41" s="58">
        <v>157</v>
      </c>
      <c r="E41" s="58">
        <v>188</v>
      </c>
      <c r="F41" s="58">
        <v>200</v>
      </c>
      <c r="G41" s="58">
        <v>215</v>
      </c>
      <c r="H41" s="58">
        <v>230</v>
      </c>
      <c r="I41" s="58">
        <v>260</v>
      </c>
    </row>
    <row r="42" spans="1:9" ht="12.75">
      <c r="A42" s="48" t="s">
        <v>22</v>
      </c>
      <c r="B42" s="58">
        <f>158+4</f>
        <v>162</v>
      </c>
      <c r="C42" s="58">
        <f>175+3</f>
        <v>178</v>
      </c>
      <c r="D42" s="58">
        <v>155</v>
      </c>
      <c r="E42" s="58">
        <v>146</v>
      </c>
      <c r="F42" s="58">
        <v>137</v>
      </c>
      <c r="G42" s="58">
        <v>132</v>
      </c>
      <c r="H42" s="58">
        <v>254</v>
      </c>
      <c r="I42" s="58">
        <v>248</v>
      </c>
    </row>
    <row r="43" spans="1:9" s="61" customFormat="1" ht="12.75">
      <c r="A43" s="59" t="s">
        <v>4</v>
      </c>
      <c r="B43" s="60">
        <f aca="true" t="shared" si="5" ref="B43:I43">SUM(B41:B42)</f>
        <v>277</v>
      </c>
      <c r="C43" s="60">
        <f t="shared" si="5"/>
        <v>300</v>
      </c>
      <c r="D43" s="60">
        <f t="shared" si="5"/>
        <v>312</v>
      </c>
      <c r="E43" s="60">
        <f t="shared" si="5"/>
        <v>334</v>
      </c>
      <c r="F43" s="60">
        <f t="shared" si="5"/>
        <v>337</v>
      </c>
      <c r="G43" s="60">
        <f t="shared" si="5"/>
        <v>347</v>
      </c>
      <c r="H43" s="60">
        <f t="shared" si="5"/>
        <v>484</v>
      </c>
      <c r="I43" s="60">
        <f t="shared" si="5"/>
        <v>508</v>
      </c>
    </row>
    <row r="44" spans="1:9" ht="12.75">
      <c r="A44" s="48"/>
      <c r="B44" s="58"/>
      <c r="C44" s="58"/>
      <c r="D44" s="58"/>
      <c r="E44" s="58"/>
      <c r="F44" s="58"/>
      <c r="G44" s="58"/>
      <c r="H44" s="58"/>
      <c r="I44" s="58"/>
    </row>
    <row r="45" spans="1:9" ht="12.75">
      <c r="A45" s="1" t="s">
        <v>63</v>
      </c>
      <c r="B45" s="58"/>
      <c r="C45" s="58"/>
      <c r="D45" s="58"/>
      <c r="E45" s="58"/>
      <c r="F45" s="58"/>
      <c r="G45" s="58"/>
      <c r="H45" s="58"/>
      <c r="I45" s="58"/>
    </row>
    <row r="46" spans="1:9" ht="12.75">
      <c r="A46" s="48" t="s">
        <v>21</v>
      </c>
      <c r="B46" s="58">
        <v>9</v>
      </c>
      <c r="C46" s="58">
        <v>10</v>
      </c>
      <c r="D46" s="58">
        <v>12</v>
      </c>
      <c r="E46" s="58">
        <v>16</v>
      </c>
      <c r="F46" s="58">
        <v>18</v>
      </c>
      <c r="G46" s="58">
        <v>17</v>
      </c>
      <c r="H46" s="58">
        <v>22</v>
      </c>
      <c r="I46" s="58">
        <v>22</v>
      </c>
    </row>
    <row r="47" spans="1:9" ht="12.75">
      <c r="A47" s="48" t="s">
        <v>22</v>
      </c>
      <c r="B47" s="58">
        <v>14</v>
      </c>
      <c r="C47" s="58">
        <v>16</v>
      </c>
      <c r="D47" s="58">
        <v>17</v>
      </c>
      <c r="E47" s="58">
        <v>14</v>
      </c>
      <c r="F47" s="58">
        <v>12</v>
      </c>
      <c r="G47" s="58">
        <v>13</v>
      </c>
      <c r="H47" s="58">
        <v>18</v>
      </c>
      <c r="I47" s="58">
        <v>20</v>
      </c>
    </row>
    <row r="48" spans="1:9" s="61" customFormat="1" ht="12.75">
      <c r="A48" s="59" t="s">
        <v>4</v>
      </c>
      <c r="B48" s="60">
        <f aca="true" t="shared" si="6" ref="B48:I48">SUM(B46:B47)</f>
        <v>23</v>
      </c>
      <c r="C48" s="60">
        <f t="shared" si="6"/>
        <v>26</v>
      </c>
      <c r="D48" s="60">
        <f t="shared" si="6"/>
        <v>29</v>
      </c>
      <c r="E48" s="60">
        <f t="shared" si="6"/>
        <v>30</v>
      </c>
      <c r="F48" s="60">
        <f t="shared" si="6"/>
        <v>30</v>
      </c>
      <c r="G48" s="60">
        <f t="shared" si="6"/>
        <v>30</v>
      </c>
      <c r="H48" s="60">
        <f t="shared" si="6"/>
        <v>40</v>
      </c>
      <c r="I48" s="60">
        <f t="shared" si="6"/>
        <v>42</v>
      </c>
    </row>
    <row r="49" spans="1:9" ht="12.75">
      <c r="A49" s="48"/>
      <c r="B49" s="58"/>
      <c r="C49" s="58"/>
      <c r="D49" s="58"/>
      <c r="E49" s="58"/>
      <c r="F49" s="58"/>
      <c r="G49" s="58"/>
      <c r="H49" s="58"/>
      <c r="I49" s="58"/>
    </row>
    <row r="50" spans="1:9" ht="12.75">
      <c r="A50" s="46" t="s">
        <v>15</v>
      </c>
      <c r="B50" s="58"/>
      <c r="C50" s="58"/>
      <c r="D50" s="58"/>
      <c r="E50" s="58"/>
      <c r="F50" s="58"/>
      <c r="G50" s="58"/>
      <c r="H50" s="58"/>
      <c r="I50" s="58"/>
    </row>
    <row r="51" spans="1:9" ht="12.75">
      <c r="A51" s="48" t="s">
        <v>21</v>
      </c>
      <c r="B51" s="58">
        <v>92</v>
      </c>
      <c r="C51" s="58">
        <v>90</v>
      </c>
      <c r="D51" s="58">
        <v>92</v>
      </c>
      <c r="E51" s="58">
        <v>93</v>
      </c>
      <c r="F51" s="58">
        <v>99</v>
      </c>
      <c r="G51" s="58">
        <v>103</v>
      </c>
      <c r="H51" s="58">
        <v>103</v>
      </c>
      <c r="I51" s="58">
        <v>132</v>
      </c>
    </row>
    <row r="52" spans="1:9" ht="12.75">
      <c r="A52" s="48" t="s">
        <v>22</v>
      </c>
      <c r="B52" s="58">
        <v>30</v>
      </c>
      <c r="C52" s="58">
        <v>37</v>
      </c>
      <c r="D52" s="58">
        <v>38</v>
      </c>
      <c r="E52" s="58">
        <v>42</v>
      </c>
      <c r="F52" s="58">
        <v>41</v>
      </c>
      <c r="G52" s="58">
        <v>38</v>
      </c>
      <c r="H52" s="58">
        <v>88</v>
      </c>
      <c r="I52" s="58">
        <v>64</v>
      </c>
    </row>
    <row r="53" spans="1:9" s="61" customFormat="1" ht="12.75">
      <c r="A53" s="59" t="s">
        <v>4</v>
      </c>
      <c r="B53" s="60">
        <f aca="true" t="shared" si="7" ref="B53:I53">SUM(B51:B52)</f>
        <v>122</v>
      </c>
      <c r="C53" s="60">
        <f t="shared" si="7"/>
        <v>127</v>
      </c>
      <c r="D53" s="60">
        <f t="shared" si="7"/>
        <v>130</v>
      </c>
      <c r="E53" s="60">
        <f t="shared" si="7"/>
        <v>135</v>
      </c>
      <c r="F53" s="60">
        <f t="shared" si="7"/>
        <v>140</v>
      </c>
      <c r="G53" s="60">
        <f t="shared" si="7"/>
        <v>141</v>
      </c>
      <c r="H53" s="60">
        <f t="shared" si="7"/>
        <v>191</v>
      </c>
      <c r="I53" s="60">
        <f t="shared" si="7"/>
        <v>196</v>
      </c>
    </row>
    <row r="54" spans="1:9" ht="12.75">
      <c r="A54" s="59"/>
      <c r="B54" s="58"/>
      <c r="C54" s="58"/>
      <c r="D54" s="58"/>
      <c r="E54" s="58"/>
      <c r="F54" s="58"/>
      <c r="G54" s="58"/>
      <c r="H54" s="58"/>
      <c r="I54" s="58"/>
    </row>
    <row r="55" spans="1:9" ht="12.75">
      <c r="A55" s="46" t="s">
        <v>16</v>
      </c>
      <c r="B55" s="58"/>
      <c r="C55" s="58"/>
      <c r="D55" s="58"/>
      <c r="E55" s="58"/>
      <c r="F55" s="58"/>
      <c r="G55" s="58"/>
      <c r="H55" s="58"/>
      <c r="I55" s="58"/>
    </row>
    <row r="56" spans="1:9" ht="12.75">
      <c r="A56" s="48" t="s">
        <v>21</v>
      </c>
      <c r="B56" s="58">
        <v>2347</v>
      </c>
      <c r="C56" s="58">
        <v>2367</v>
      </c>
      <c r="D56" s="58">
        <v>2457</v>
      </c>
      <c r="E56" s="58">
        <v>2540</v>
      </c>
      <c r="F56" s="58">
        <v>2618</v>
      </c>
      <c r="G56" s="58">
        <v>2692</v>
      </c>
      <c r="H56" s="58">
        <v>2753</v>
      </c>
      <c r="I56" s="58">
        <v>3453</v>
      </c>
    </row>
    <row r="57" spans="1:9" ht="12.75">
      <c r="A57" s="48" t="s">
        <v>22</v>
      </c>
      <c r="B57" s="58">
        <f>854+187+7</f>
        <v>1048</v>
      </c>
      <c r="C57" s="58">
        <f>924+189+7</f>
        <v>1120</v>
      </c>
      <c r="D57" s="58">
        <v>1194</v>
      </c>
      <c r="E57" s="58">
        <v>1109</v>
      </c>
      <c r="F57" s="58">
        <v>1214</v>
      </c>
      <c r="G57" s="58">
        <v>1176</v>
      </c>
      <c r="H57" s="58">
        <v>1129</v>
      </c>
      <c r="I57" s="58">
        <v>1580</v>
      </c>
    </row>
    <row r="58" spans="1:9" s="61" customFormat="1" ht="12.75">
      <c r="A58" s="186" t="s">
        <v>4</v>
      </c>
      <c r="B58" s="187">
        <f aca="true" t="shared" si="8" ref="B58:I58">SUM(B56:B57)</f>
        <v>3395</v>
      </c>
      <c r="C58" s="187">
        <f t="shared" si="8"/>
        <v>3487</v>
      </c>
      <c r="D58" s="187">
        <f t="shared" si="8"/>
        <v>3651</v>
      </c>
      <c r="E58" s="187">
        <f t="shared" si="8"/>
        <v>3649</v>
      </c>
      <c r="F58" s="187">
        <f t="shared" si="8"/>
        <v>3832</v>
      </c>
      <c r="G58" s="187">
        <f t="shared" si="8"/>
        <v>3868</v>
      </c>
      <c r="H58" s="187">
        <f t="shared" si="8"/>
        <v>3882</v>
      </c>
      <c r="I58" s="187">
        <f t="shared" si="8"/>
        <v>5033</v>
      </c>
    </row>
    <row r="59" spans="1:9" ht="12.75">
      <c r="A59" s="185"/>
      <c r="B59" s="58"/>
      <c r="C59" s="58"/>
      <c r="D59" s="58"/>
      <c r="E59" s="58"/>
      <c r="F59" s="58"/>
      <c r="G59" s="58"/>
      <c r="H59" s="58"/>
      <c r="I59" s="58"/>
    </row>
    <row r="60" spans="1:9" ht="12.75">
      <c r="A60" s="63" t="s">
        <v>79</v>
      </c>
      <c r="B60" s="58"/>
      <c r="C60" s="58"/>
      <c r="D60" s="58"/>
      <c r="E60" s="58"/>
      <c r="F60" s="58"/>
      <c r="G60" s="58"/>
      <c r="H60" s="58"/>
      <c r="I60" s="58"/>
    </row>
    <row r="61" spans="1:9" ht="12.75">
      <c r="A61" s="48" t="s">
        <v>21</v>
      </c>
      <c r="B61" s="58">
        <f aca="true" t="shared" si="9" ref="B61:I63">SUM(B11,B16,B21,B26,B31,B41,B46,B51,B56)</f>
        <v>11222</v>
      </c>
      <c r="C61" s="58">
        <f t="shared" si="9"/>
        <v>11400</v>
      </c>
      <c r="D61" s="58">
        <f t="shared" si="9"/>
        <v>12509</v>
      </c>
      <c r="E61" s="58">
        <f t="shared" si="9"/>
        <v>13038</v>
      </c>
      <c r="F61" s="58">
        <f t="shared" si="9"/>
        <v>13373</v>
      </c>
      <c r="G61" s="58">
        <f t="shared" si="9"/>
        <v>13989</v>
      </c>
      <c r="H61" s="58">
        <f t="shared" si="9"/>
        <v>14376</v>
      </c>
      <c r="I61" s="58">
        <f t="shared" si="9"/>
        <v>14957</v>
      </c>
    </row>
    <row r="62" spans="1:9" ht="12.75">
      <c r="A62" s="48" t="s">
        <v>22</v>
      </c>
      <c r="B62" s="58">
        <f t="shared" si="9"/>
        <v>5831</v>
      </c>
      <c r="C62" s="58">
        <f t="shared" si="9"/>
        <v>6226</v>
      </c>
      <c r="D62" s="58">
        <f t="shared" si="9"/>
        <v>7170</v>
      </c>
      <c r="E62" s="58">
        <f t="shared" si="9"/>
        <v>6844</v>
      </c>
      <c r="F62" s="58">
        <f t="shared" si="9"/>
        <v>6761</v>
      </c>
      <c r="G62" s="58">
        <f t="shared" si="9"/>
        <v>6458</v>
      </c>
      <c r="H62" s="58">
        <f t="shared" si="9"/>
        <v>6735</v>
      </c>
      <c r="I62" s="58">
        <f t="shared" si="9"/>
        <v>7071</v>
      </c>
    </row>
    <row r="63" spans="1:9" s="61" customFormat="1" ht="12.75">
      <c r="A63" s="59" t="s">
        <v>4</v>
      </c>
      <c r="B63" s="175">
        <f t="shared" si="9"/>
        <v>17053</v>
      </c>
      <c r="C63" s="175">
        <f t="shared" si="9"/>
        <v>17626</v>
      </c>
      <c r="D63" s="175">
        <f t="shared" si="9"/>
        <v>19679</v>
      </c>
      <c r="E63" s="175">
        <f t="shared" si="9"/>
        <v>19882</v>
      </c>
      <c r="F63" s="175">
        <f t="shared" si="9"/>
        <v>20134</v>
      </c>
      <c r="G63" s="175">
        <f t="shared" si="9"/>
        <v>20447</v>
      </c>
      <c r="H63" s="175">
        <f t="shared" si="9"/>
        <v>21111</v>
      </c>
      <c r="I63" s="175">
        <f t="shared" si="9"/>
        <v>22028</v>
      </c>
    </row>
    <row r="64" spans="1:9" s="28" customFormat="1" ht="12.75">
      <c r="A64" s="232"/>
      <c r="B64" s="233"/>
      <c r="C64" s="234"/>
      <c r="D64" s="234"/>
      <c r="E64" s="234"/>
      <c r="F64" s="234"/>
      <c r="G64" s="234"/>
      <c r="H64" s="235"/>
      <c r="I64" s="233"/>
    </row>
    <row r="65" spans="1:9" s="28" customFormat="1" ht="12.75">
      <c r="A65" s="63" t="s">
        <v>84</v>
      </c>
      <c r="B65" s="39"/>
      <c r="C65" s="221"/>
      <c r="D65" s="221"/>
      <c r="E65" s="221"/>
      <c r="F65" s="221"/>
      <c r="G65" s="221"/>
      <c r="H65" s="222"/>
      <c r="I65" s="39"/>
    </row>
    <row r="66" spans="1:9" s="28" customFormat="1" ht="12.75">
      <c r="A66" s="29" t="s">
        <v>21</v>
      </c>
      <c r="B66" s="228"/>
      <c r="C66"/>
      <c r="D66"/>
      <c r="E66"/>
      <c r="F66"/>
      <c r="G66"/>
      <c r="H66"/>
      <c r="I66" s="39">
        <f>SUM(I11,I16,I21,I26,I31,I46,I51,I56,I41,I36)</f>
        <v>14957</v>
      </c>
    </row>
    <row r="67" spans="1:9" s="28" customFormat="1" ht="12.75">
      <c r="A67" s="29" t="s">
        <v>22</v>
      </c>
      <c r="B67" s="228"/>
      <c r="C67"/>
      <c r="D67"/>
      <c r="E67"/>
      <c r="F67"/>
      <c r="G67"/>
      <c r="H67"/>
      <c r="I67" s="39">
        <f>SUM(I12,I17,I22,I27,I32,I47,I52,I57,I42,I37)</f>
        <v>7126</v>
      </c>
    </row>
    <row r="68" spans="1:9" s="42" customFormat="1" ht="12.75">
      <c r="A68" s="40" t="s">
        <v>4</v>
      </c>
      <c r="B68" s="229"/>
      <c r="C68" s="230"/>
      <c r="D68" s="230"/>
      <c r="E68" s="230"/>
      <c r="F68" s="230"/>
      <c r="G68" s="230"/>
      <c r="H68" s="231"/>
      <c r="I68" s="41">
        <f>SUM(I66:I67)</f>
        <v>22083</v>
      </c>
    </row>
    <row r="70" ht="12.75">
      <c r="A70" s="64" t="s">
        <v>18</v>
      </c>
    </row>
  </sheetData>
  <sheetProtection/>
  <printOptions horizontalCentered="1"/>
  <pageMargins left="0.1968503937007874" right="0.1968503937007874" top="0.5905511811023623" bottom="0.3937007874015748" header="0.31496062992125984" footer="0.31496062992125984"/>
  <pageSetup fitToHeight="1" fitToWidth="1" orientation="portrait" paperSize="9" scale="88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32.71093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25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69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2</v>
      </c>
      <c r="C6" s="10"/>
      <c r="D6" s="10"/>
      <c r="E6" s="9" t="s">
        <v>3</v>
      </c>
      <c r="F6" s="10"/>
      <c r="G6" s="10"/>
      <c r="H6" s="9" t="s">
        <v>4</v>
      </c>
      <c r="I6" s="10"/>
      <c r="J6" s="10"/>
    </row>
    <row r="7" spans="1:10" s="169" customFormat="1" ht="12.75">
      <c r="A7" s="70"/>
      <c r="B7" s="189" t="s">
        <v>5</v>
      </c>
      <c r="C7" s="190" t="s">
        <v>6</v>
      </c>
      <c r="D7" s="190" t="s">
        <v>4</v>
      </c>
      <c r="E7" s="189" t="s">
        <v>5</v>
      </c>
      <c r="F7" s="190" t="s">
        <v>6</v>
      </c>
      <c r="G7" s="190" t="s">
        <v>4</v>
      </c>
      <c r="H7" s="189" t="s">
        <v>5</v>
      </c>
      <c r="I7" s="190" t="s">
        <v>6</v>
      </c>
      <c r="J7" s="190" t="s">
        <v>4</v>
      </c>
    </row>
    <row r="8" spans="1:10" ht="12.75">
      <c r="A8" s="2"/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1" t="s">
        <v>7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48</v>
      </c>
      <c r="B10" s="11">
        <v>1043</v>
      </c>
      <c r="C10" s="12">
        <v>6869</v>
      </c>
      <c r="D10" s="12">
        <f>SUM(B10:C10)</f>
        <v>7912</v>
      </c>
      <c r="E10" s="11">
        <v>187</v>
      </c>
      <c r="F10" s="12">
        <v>1024</v>
      </c>
      <c r="G10" s="12">
        <f>SUM(E10:F10)</f>
        <v>1211</v>
      </c>
      <c r="H10" s="11">
        <f>SUM(B10,E10)</f>
        <v>1230</v>
      </c>
      <c r="I10" s="12">
        <f>SUM(C10,F10)</f>
        <v>7893</v>
      </c>
      <c r="J10" s="12">
        <f>SUM(H10:I10)</f>
        <v>9123</v>
      </c>
    </row>
    <row r="11" spans="1:10" ht="12.75">
      <c r="A11" s="2" t="s">
        <v>8</v>
      </c>
      <c r="B11" s="11">
        <v>5137</v>
      </c>
      <c r="C11" s="12">
        <v>28065</v>
      </c>
      <c r="D11" s="12">
        <f>SUM(B11:C11)</f>
        <v>33202</v>
      </c>
      <c r="E11" s="11">
        <v>292</v>
      </c>
      <c r="F11" s="12">
        <v>3009</v>
      </c>
      <c r="G11" s="12">
        <f>SUM(E11:F11)</f>
        <v>3301</v>
      </c>
      <c r="H11" s="11">
        <f aca="true" t="shared" si="0" ref="H11:I13">SUM(B11,E11)</f>
        <v>5429</v>
      </c>
      <c r="I11" s="12">
        <f t="shared" si="0"/>
        <v>31074</v>
      </c>
      <c r="J11" s="12">
        <f>SUM(H11:I11)</f>
        <v>36503</v>
      </c>
    </row>
    <row r="12" spans="1:10" ht="12.75">
      <c r="A12" s="2" t="s">
        <v>9</v>
      </c>
      <c r="B12" s="11">
        <v>6</v>
      </c>
      <c r="C12" s="12">
        <v>26</v>
      </c>
      <c r="D12" s="12">
        <f>SUM(B12:C12)</f>
        <v>32</v>
      </c>
      <c r="E12" s="13">
        <v>0</v>
      </c>
      <c r="F12" s="12">
        <v>3</v>
      </c>
      <c r="G12" s="12">
        <f>SUM(E12:F12)</f>
        <v>3</v>
      </c>
      <c r="H12" s="13">
        <f t="shared" si="0"/>
        <v>6</v>
      </c>
      <c r="I12" s="12">
        <f t="shared" si="0"/>
        <v>29</v>
      </c>
      <c r="J12" s="12">
        <f>SUM(H12:I12)</f>
        <v>35</v>
      </c>
    </row>
    <row r="13" spans="1:10" ht="12.75">
      <c r="A13" s="3" t="s">
        <v>10</v>
      </c>
      <c r="B13" s="11">
        <v>2019</v>
      </c>
      <c r="C13" s="12">
        <v>10620</v>
      </c>
      <c r="D13" s="12">
        <f>SUM(B13:C13)</f>
        <v>12639</v>
      </c>
      <c r="E13" s="11">
        <v>140</v>
      </c>
      <c r="F13" s="12">
        <v>1126</v>
      </c>
      <c r="G13" s="12">
        <f>SUM(E13:F13)</f>
        <v>1266</v>
      </c>
      <c r="H13" s="11">
        <f t="shared" si="0"/>
        <v>2159</v>
      </c>
      <c r="I13" s="12">
        <f t="shared" si="0"/>
        <v>11746</v>
      </c>
      <c r="J13" s="12">
        <f>SUM(H13:I13)</f>
        <v>13905</v>
      </c>
    </row>
    <row r="14" spans="1:10" s="17" customFormat="1" ht="12.75">
      <c r="A14" s="14" t="s">
        <v>4</v>
      </c>
      <c r="B14" s="15">
        <f>SUM(B10:B13)</f>
        <v>8205</v>
      </c>
      <c r="C14" s="16">
        <f aca="true" t="shared" si="1" ref="C14:J14">SUM(C10:C13)</f>
        <v>45580</v>
      </c>
      <c r="D14" s="16">
        <f t="shared" si="1"/>
        <v>53785</v>
      </c>
      <c r="E14" s="15">
        <f t="shared" si="1"/>
        <v>619</v>
      </c>
      <c r="F14" s="16">
        <f t="shared" si="1"/>
        <v>5162</v>
      </c>
      <c r="G14" s="16">
        <f t="shared" si="1"/>
        <v>5781</v>
      </c>
      <c r="H14" s="15">
        <f t="shared" si="1"/>
        <v>8824</v>
      </c>
      <c r="I14" s="16">
        <f t="shared" si="1"/>
        <v>50742</v>
      </c>
      <c r="J14" s="16">
        <f t="shared" si="1"/>
        <v>59566</v>
      </c>
    </row>
    <row r="15" spans="1:10" ht="12.75">
      <c r="A15" s="3"/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1" t="s">
        <v>11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48</v>
      </c>
      <c r="B17" s="11">
        <v>261</v>
      </c>
      <c r="C17" s="12">
        <v>1278</v>
      </c>
      <c r="D17" s="12">
        <f>SUM(B17:C17)</f>
        <v>1539</v>
      </c>
      <c r="E17" s="11">
        <v>86</v>
      </c>
      <c r="F17" s="12">
        <v>671</v>
      </c>
      <c r="G17" s="12">
        <f>SUM(E17:F17)</f>
        <v>757</v>
      </c>
      <c r="H17" s="11">
        <f aca="true" t="shared" si="2" ref="H17:I20">SUM(B17,E17)</f>
        <v>347</v>
      </c>
      <c r="I17" s="12">
        <f t="shared" si="2"/>
        <v>1949</v>
      </c>
      <c r="J17" s="12">
        <f>SUM(H17:I17)</f>
        <v>2296</v>
      </c>
    </row>
    <row r="18" spans="1:10" ht="12.75">
      <c r="A18" s="2" t="s">
        <v>8</v>
      </c>
      <c r="B18" s="11">
        <v>741</v>
      </c>
      <c r="C18" s="12">
        <v>3328</v>
      </c>
      <c r="D18" s="12">
        <f>SUM(B18:C18)</f>
        <v>4069</v>
      </c>
      <c r="E18" s="11">
        <v>113</v>
      </c>
      <c r="F18" s="12">
        <v>1338</v>
      </c>
      <c r="G18" s="12">
        <f>SUM(E18:F18)</f>
        <v>1451</v>
      </c>
      <c r="H18" s="11">
        <f t="shared" si="2"/>
        <v>854</v>
      </c>
      <c r="I18" s="12">
        <f t="shared" si="2"/>
        <v>4666</v>
      </c>
      <c r="J18" s="12">
        <f>SUM(H18:I18)</f>
        <v>5520</v>
      </c>
    </row>
    <row r="19" spans="1:10" ht="12.75">
      <c r="A19" s="2" t="s">
        <v>9</v>
      </c>
      <c r="B19" s="13">
        <v>21</v>
      </c>
      <c r="C19" s="18">
        <v>103</v>
      </c>
      <c r="D19" s="18">
        <f>SUM(B19:C19)</f>
        <v>124</v>
      </c>
      <c r="E19" s="13">
        <v>2</v>
      </c>
      <c r="F19" s="18">
        <v>28</v>
      </c>
      <c r="G19" s="18">
        <f>SUM(E19:F19)</f>
        <v>30</v>
      </c>
      <c r="H19" s="13">
        <f t="shared" si="2"/>
        <v>23</v>
      </c>
      <c r="I19" s="18">
        <f t="shared" si="2"/>
        <v>131</v>
      </c>
      <c r="J19" s="18">
        <f>SUM(H19:I19)</f>
        <v>154</v>
      </c>
    </row>
    <row r="20" spans="1:10" ht="12.75">
      <c r="A20" s="2" t="s">
        <v>10</v>
      </c>
      <c r="B20" s="11">
        <v>140</v>
      </c>
      <c r="C20" s="12">
        <v>730</v>
      </c>
      <c r="D20" s="12">
        <f>SUM(B20:C20)</f>
        <v>870</v>
      </c>
      <c r="E20" s="11">
        <v>23</v>
      </c>
      <c r="F20" s="12">
        <v>284</v>
      </c>
      <c r="G20" s="12">
        <f>SUM(E20:F20)</f>
        <v>307</v>
      </c>
      <c r="H20" s="11">
        <f t="shared" si="2"/>
        <v>163</v>
      </c>
      <c r="I20" s="12">
        <f t="shared" si="2"/>
        <v>1014</v>
      </c>
      <c r="J20" s="12">
        <f>SUM(H20:I20)</f>
        <v>1177</v>
      </c>
    </row>
    <row r="21" spans="1:10" s="17" customFormat="1" ht="12.75">
      <c r="A21" s="19" t="s">
        <v>4</v>
      </c>
      <c r="B21" s="15">
        <f aca="true" t="shared" si="3" ref="B21:J21">SUM(B17:B20)</f>
        <v>1163</v>
      </c>
      <c r="C21" s="16">
        <f t="shared" si="3"/>
        <v>5439</v>
      </c>
      <c r="D21" s="16">
        <f t="shared" si="3"/>
        <v>6602</v>
      </c>
      <c r="E21" s="15">
        <f t="shared" si="3"/>
        <v>224</v>
      </c>
      <c r="F21" s="16">
        <f t="shared" si="3"/>
        <v>2321</v>
      </c>
      <c r="G21" s="16">
        <f t="shared" si="3"/>
        <v>2545</v>
      </c>
      <c r="H21" s="15">
        <f t="shared" si="3"/>
        <v>1387</v>
      </c>
      <c r="I21" s="16">
        <f t="shared" si="3"/>
        <v>7760</v>
      </c>
      <c r="J21" s="16">
        <f t="shared" si="3"/>
        <v>9147</v>
      </c>
    </row>
    <row r="22" spans="1:10" ht="12.75">
      <c r="A22" s="2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12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48</v>
      </c>
      <c r="B24" s="11">
        <v>4941</v>
      </c>
      <c r="C24" s="12">
        <v>7211</v>
      </c>
      <c r="D24" s="12">
        <f>SUM(B24:C24)</f>
        <v>12152</v>
      </c>
      <c r="E24" s="11">
        <v>512</v>
      </c>
      <c r="F24" s="12">
        <v>1497</v>
      </c>
      <c r="G24" s="12">
        <f>SUM(E24:F24)</f>
        <v>2009</v>
      </c>
      <c r="H24" s="11">
        <f aca="true" t="shared" si="4" ref="H24:I27">SUM(B24,E24)</f>
        <v>5453</v>
      </c>
      <c r="I24" s="12">
        <f t="shared" si="4"/>
        <v>8708</v>
      </c>
      <c r="J24" s="12">
        <f>SUM(H24:I24)</f>
        <v>14161</v>
      </c>
    </row>
    <row r="25" spans="1:10" ht="12.75">
      <c r="A25" s="2" t="s">
        <v>8</v>
      </c>
      <c r="B25" s="11">
        <v>17251</v>
      </c>
      <c r="C25" s="12">
        <v>28123</v>
      </c>
      <c r="D25" s="12">
        <f>SUM(B25:C25)</f>
        <v>45374</v>
      </c>
      <c r="E25" s="11">
        <v>1550</v>
      </c>
      <c r="F25" s="12">
        <v>3659</v>
      </c>
      <c r="G25" s="12">
        <f>SUM(E25:F25)</f>
        <v>5209</v>
      </c>
      <c r="H25" s="11">
        <f t="shared" si="4"/>
        <v>18801</v>
      </c>
      <c r="I25" s="12">
        <f t="shared" si="4"/>
        <v>31782</v>
      </c>
      <c r="J25" s="12">
        <f>SUM(H25:I25)</f>
        <v>50583</v>
      </c>
    </row>
    <row r="26" spans="1:10" ht="12.75">
      <c r="A26" s="2" t="s">
        <v>9</v>
      </c>
      <c r="B26" s="11">
        <v>1207</v>
      </c>
      <c r="C26" s="12">
        <v>1182</v>
      </c>
      <c r="D26" s="12">
        <f>SUM(B26:C26)</f>
        <v>2389</v>
      </c>
      <c r="E26" s="11">
        <v>75</v>
      </c>
      <c r="F26" s="12">
        <v>189</v>
      </c>
      <c r="G26" s="12">
        <f>SUM(E26:F26)</f>
        <v>264</v>
      </c>
      <c r="H26" s="11">
        <f t="shared" si="4"/>
        <v>1282</v>
      </c>
      <c r="I26" s="12">
        <f t="shared" si="4"/>
        <v>1371</v>
      </c>
      <c r="J26" s="12">
        <f>SUM(H26:I26)</f>
        <v>2653</v>
      </c>
    </row>
    <row r="27" spans="1:10" ht="12.75">
      <c r="A27" s="3" t="s">
        <v>10</v>
      </c>
      <c r="B27" s="11">
        <v>1767</v>
      </c>
      <c r="C27" s="12">
        <v>1914</v>
      </c>
      <c r="D27" s="12">
        <f>SUM(B27:C27)</f>
        <v>3681</v>
      </c>
      <c r="E27" s="11">
        <v>130</v>
      </c>
      <c r="F27" s="12">
        <v>326</v>
      </c>
      <c r="G27" s="12">
        <f>SUM(E27:F27)</f>
        <v>456</v>
      </c>
      <c r="H27" s="11">
        <f t="shared" si="4"/>
        <v>1897</v>
      </c>
      <c r="I27" s="12">
        <f t="shared" si="4"/>
        <v>2240</v>
      </c>
      <c r="J27" s="12">
        <f>SUM(H27:I27)</f>
        <v>4137</v>
      </c>
    </row>
    <row r="28" spans="1:10" s="17" customFormat="1" ht="12.75">
      <c r="A28" s="14" t="s">
        <v>4</v>
      </c>
      <c r="B28" s="15">
        <f aca="true" t="shared" si="5" ref="B28:J28">SUM(B24:B27)</f>
        <v>25166</v>
      </c>
      <c r="C28" s="16">
        <f t="shared" si="5"/>
        <v>38430</v>
      </c>
      <c r="D28" s="16">
        <f t="shared" si="5"/>
        <v>63596</v>
      </c>
      <c r="E28" s="15">
        <f t="shared" si="5"/>
        <v>2267</v>
      </c>
      <c r="F28" s="16">
        <f t="shared" si="5"/>
        <v>5671</v>
      </c>
      <c r="G28" s="16">
        <f t="shared" si="5"/>
        <v>7938</v>
      </c>
      <c r="H28" s="15">
        <f t="shared" si="5"/>
        <v>27433</v>
      </c>
      <c r="I28" s="16">
        <f t="shared" si="5"/>
        <v>44101</v>
      </c>
      <c r="J28" s="16">
        <f t="shared" si="5"/>
        <v>71534</v>
      </c>
    </row>
    <row r="29" spans="1:10" ht="12.75">
      <c r="A29" s="3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13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48</v>
      </c>
      <c r="B31" s="11">
        <v>520</v>
      </c>
      <c r="C31" s="12">
        <v>829</v>
      </c>
      <c r="D31" s="12">
        <f>SUM(B31:C31)</f>
        <v>1349</v>
      </c>
      <c r="E31" s="11">
        <v>55</v>
      </c>
      <c r="F31" s="12">
        <v>304</v>
      </c>
      <c r="G31" s="12">
        <f>SUM(E31:F31)</f>
        <v>359</v>
      </c>
      <c r="H31" s="11">
        <f aca="true" t="shared" si="6" ref="H31:I34">SUM(B31,E31)</f>
        <v>575</v>
      </c>
      <c r="I31" s="12">
        <f t="shared" si="6"/>
        <v>1133</v>
      </c>
      <c r="J31" s="12">
        <f>SUM(H31:I31)</f>
        <v>1708</v>
      </c>
    </row>
    <row r="32" spans="1:10" ht="12.75">
      <c r="A32" s="2" t="s">
        <v>8</v>
      </c>
      <c r="B32" s="11">
        <v>1526</v>
      </c>
      <c r="C32" s="12">
        <v>2532</v>
      </c>
      <c r="D32" s="12">
        <f>SUM(B32:C32)</f>
        <v>4058</v>
      </c>
      <c r="E32" s="11">
        <v>138</v>
      </c>
      <c r="F32" s="12">
        <v>587</v>
      </c>
      <c r="G32" s="12">
        <f>SUM(E32:F32)</f>
        <v>725</v>
      </c>
      <c r="H32" s="11">
        <f t="shared" si="6"/>
        <v>1664</v>
      </c>
      <c r="I32" s="12">
        <f t="shared" si="6"/>
        <v>3119</v>
      </c>
      <c r="J32" s="12">
        <f>SUM(H32:I32)</f>
        <v>4783</v>
      </c>
    </row>
    <row r="33" spans="1:10" ht="12.75">
      <c r="A33" s="2" t="s">
        <v>9</v>
      </c>
      <c r="B33" s="11">
        <v>59</v>
      </c>
      <c r="C33" s="12">
        <v>51</v>
      </c>
      <c r="D33" s="12">
        <f>SUM(B33:C33)</f>
        <v>110</v>
      </c>
      <c r="E33" s="13">
        <v>4</v>
      </c>
      <c r="F33" s="12">
        <v>12</v>
      </c>
      <c r="G33" s="12">
        <f>SUM(E33:F33)</f>
        <v>16</v>
      </c>
      <c r="H33" s="13">
        <f t="shared" si="6"/>
        <v>63</v>
      </c>
      <c r="I33" s="12">
        <f t="shared" si="6"/>
        <v>63</v>
      </c>
      <c r="J33" s="12">
        <f>SUM(H33:I33)</f>
        <v>126</v>
      </c>
    </row>
    <row r="34" spans="1:10" ht="12.75">
      <c r="A34" s="2" t="s">
        <v>10</v>
      </c>
      <c r="B34" s="11">
        <v>333</v>
      </c>
      <c r="C34" s="12">
        <v>392</v>
      </c>
      <c r="D34" s="12">
        <f>SUM(B34:C34)</f>
        <v>725</v>
      </c>
      <c r="E34" s="11">
        <v>22</v>
      </c>
      <c r="F34" s="12">
        <v>109</v>
      </c>
      <c r="G34" s="12">
        <f>SUM(E34:F34)</f>
        <v>131</v>
      </c>
      <c r="H34" s="11">
        <f t="shared" si="6"/>
        <v>355</v>
      </c>
      <c r="I34" s="12">
        <f t="shared" si="6"/>
        <v>501</v>
      </c>
      <c r="J34" s="12">
        <f>SUM(H34:I34)</f>
        <v>856</v>
      </c>
    </row>
    <row r="35" spans="1:10" s="17" customFormat="1" ht="12.75">
      <c r="A35" s="19" t="s">
        <v>4</v>
      </c>
      <c r="B35" s="15">
        <f aca="true" t="shared" si="7" ref="B35:J35">SUM(B31:B34)</f>
        <v>2438</v>
      </c>
      <c r="C35" s="16">
        <f t="shared" si="7"/>
        <v>3804</v>
      </c>
      <c r="D35" s="16">
        <f t="shared" si="7"/>
        <v>6242</v>
      </c>
      <c r="E35" s="15">
        <f t="shared" si="7"/>
        <v>219</v>
      </c>
      <c r="F35" s="16">
        <f t="shared" si="7"/>
        <v>1012</v>
      </c>
      <c r="G35" s="16">
        <f t="shared" si="7"/>
        <v>1231</v>
      </c>
      <c r="H35" s="15">
        <f t="shared" si="7"/>
        <v>2657</v>
      </c>
      <c r="I35" s="16">
        <f t="shared" si="7"/>
        <v>4816</v>
      </c>
      <c r="J35" s="16">
        <f t="shared" si="7"/>
        <v>7473</v>
      </c>
    </row>
    <row r="36" spans="1:10" ht="12.75">
      <c r="A36" s="2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14</v>
      </c>
      <c r="B37" s="179"/>
      <c r="C37" s="180"/>
      <c r="D37" s="181"/>
      <c r="E37" s="179"/>
      <c r="F37" s="180"/>
      <c r="G37" s="181"/>
      <c r="H37" s="11"/>
      <c r="I37" s="12"/>
      <c r="J37" s="12"/>
    </row>
    <row r="38" spans="1:10" s="17" customFormat="1" ht="12.75">
      <c r="A38" s="19" t="s">
        <v>4</v>
      </c>
      <c r="B38" s="179">
        <v>5136</v>
      </c>
      <c r="C38" s="180">
        <v>5007</v>
      </c>
      <c r="D38" s="181">
        <f>SUM(B38:C38)</f>
        <v>10143</v>
      </c>
      <c r="E38" s="182">
        <v>746</v>
      </c>
      <c r="F38" s="181">
        <v>1571</v>
      </c>
      <c r="G38" s="181">
        <f>SUM(E38:F38)</f>
        <v>2317</v>
      </c>
      <c r="H38" s="20">
        <f>SUM(B38,E38)</f>
        <v>5882</v>
      </c>
      <c r="I38" s="21">
        <f>SUM(C38,F38)</f>
        <v>6578</v>
      </c>
      <c r="J38" s="21">
        <f>SUM(H38:I38)</f>
        <v>12460</v>
      </c>
    </row>
    <row r="39" spans="1:10" ht="12.75">
      <c r="A39" s="2"/>
      <c r="B39" s="11"/>
      <c r="C39" s="12"/>
      <c r="D39" s="12"/>
      <c r="E39" s="11"/>
      <c r="F39" s="12"/>
      <c r="G39" s="12"/>
      <c r="H39" s="11"/>
      <c r="I39" s="12"/>
      <c r="J39" s="12"/>
    </row>
    <row r="40" spans="1:10" s="17" customFormat="1" ht="12.75">
      <c r="A40" s="217" t="s">
        <v>74</v>
      </c>
      <c r="B40" s="20"/>
      <c r="C40" s="21"/>
      <c r="D40" s="21"/>
      <c r="E40" s="20"/>
      <c r="F40" s="21"/>
      <c r="G40" s="21"/>
      <c r="H40" s="20"/>
      <c r="I40" s="21"/>
      <c r="J40" s="21"/>
    </row>
    <row r="41" spans="1:10" s="17" customFormat="1" ht="12.75">
      <c r="A41" s="19" t="s">
        <v>4</v>
      </c>
      <c r="B41" s="20">
        <v>117</v>
      </c>
      <c r="C41" s="21">
        <v>619</v>
      </c>
      <c r="D41" s="21">
        <f>SUM(B41:C41)</f>
        <v>736</v>
      </c>
      <c r="E41" s="20">
        <v>6</v>
      </c>
      <c r="F41" s="21">
        <v>67</v>
      </c>
      <c r="G41" s="21">
        <f>SUM(E41:F41)</f>
        <v>73</v>
      </c>
      <c r="H41" s="20">
        <f>B41+E41</f>
        <v>123</v>
      </c>
      <c r="I41" s="21">
        <f>C41+F41</f>
        <v>686</v>
      </c>
      <c r="J41" s="21">
        <f>H41+I41</f>
        <v>809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62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48</v>
      </c>
      <c r="B44" s="11">
        <v>712</v>
      </c>
      <c r="C44" s="12">
        <v>1119</v>
      </c>
      <c r="D44" s="12">
        <f>SUM(B44:C44)</f>
        <v>1831</v>
      </c>
      <c r="E44" s="11">
        <v>42</v>
      </c>
      <c r="F44" s="12">
        <v>164</v>
      </c>
      <c r="G44" s="12">
        <f>SUM(E44:F44)</f>
        <v>206</v>
      </c>
      <c r="H44" s="11">
        <f aca="true" t="shared" si="8" ref="H44:I47">SUM(B44,E44)</f>
        <v>754</v>
      </c>
      <c r="I44" s="12">
        <f t="shared" si="8"/>
        <v>1283</v>
      </c>
      <c r="J44" s="12">
        <f>SUM(H44:I44)</f>
        <v>2037</v>
      </c>
    </row>
    <row r="45" spans="1:10" ht="12.75">
      <c r="A45" s="2" t="s">
        <v>8</v>
      </c>
      <c r="B45" s="11">
        <v>803</v>
      </c>
      <c r="C45" s="12">
        <v>1533</v>
      </c>
      <c r="D45" s="12">
        <f>SUM(B45:C45)</f>
        <v>2336</v>
      </c>
      <c r="E45" s="11">
        <v>47</v>
      </c>
      <c r="F45" s="12">
        <v>185</v>
      </c>
      <c r="G45" s="12">
        <f>SUM(E45:F45)</f>
        <v>232</v>
      </c>
      <c r="H45" s="11">
        <f t="shared" si="8"/>
        <v>850</v>
      </c>
      <c r="I45" s="12">
        <f t="shared" si="8"/>
        <v>1718</v>
      </c>
      <c r="J45" s="12">
        <f>SUM(H45:I45)</f>
        <v>2568</v>
      </c>
    </row>
    <row r="46" spans="1:10" ht="12.75">
      <c r="A46" s="2" t="s">
        <v>9</v>
      </c>
      <c r="B46" s="11">
        <v>274</v>
      </c>
      <c r="C46" s="12">
        <v>371</v>
      </c>
      <c r="D46" s="12">
        <f>SUM(B46:C46)</f>
        <v>645</v>
      </c>
      <c r="E46" s="11">
        <v>17</v>
      </c>
      <c r="F46" s="12">
        <v>53</v>
      </c>
      <c r="G46" s="12">
        <f>SUM(E46:F46)</f>
        <v>70</v>
      </c>
      <c r="H46" s="11">
        <f t="shared" si="8"/>
        <v>291</v>
      </c>
      <c r="I46" s="12">
        <f t="shared" si="8"/>
        <v>424</v>
      </c>
      <c r="J46" s="12">
        <f>SUM(H46:I46)</f>
        <v>715</v>
      </c>
    </row>
    <row r="47" spans="1:10" ht="12.75">
      <c r="A47" s="2" t="s">
        <v>10</v>
      </c>
      <c r="B47" s="11">
        <v>228</v>
      </c>
      <c r="C47" s="12">
        <v>469</v>
      </c>
      <c r="D47" s="12">
        <f>SUM(B47:C47)</f>
        <v>697</v>
      </c>
      <c r="E47" s="11">
        <v>10</v>
      </c>
      <c r="F47" s="12">
        <v>61</v>
      </c>
      <c r="G47" s="12">
        <f>SUM(E47:F47)</f>
        <v>71</v>
      </c>
      <c r="H47" s="11">
        <f t="shared" si="8"/>
        <v>238</v>
      </c>
      <c r="I47" s="12">
        <f t="shared" si="8"/>
        <v>530</v>
      </c>
      <c r="J47" s="12">
        <f>SUM(H47:I47)</f>
        <v>768</v>
      </c>
    </row>
    <row r="48" spans="1:10" s="17" customFormat="1" ht="12.75">
      <c r="A48" s="19" t="s">
        <v>4</v>
      </c>
      <c r="B48" s="15">
        <f aca="true" t="shared" si="9" ref="B48:J48">SUM(B44:B47)</f>
        <v>2017</v>
      </c>
      <c r="C48" s="16">
        <f t="shared" si="9"/>
        <v>3492</v>
      </c>
      <c r="D48" s="16">
        <f t="shared" si="9"/>
        <v>5509</v>
      </c>
      <c r="E48" s="15">
        <f t="shared" si="9"/>
        <v>116</v>
      </c>
      <c r="F48" s="16">
        <f t="shared" si="9"/>
        <v>463</v>
      </c>
      <c r="G48" s="16">
        <f t="shared" si="9"/>
        <v>579</v>
      </c>
      <c r="H48" s="15">
        <f t="shared" si="9"/>
        <v>2133</v>
      </c>
      <c r="I48" s="16">
        <f t="shared" si="9"/>
        <v>3955</v>
      </c>
      <c r="J48" s="16">
        <f t="shared" si="9"/>
        <v>6088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63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ht="12.75">
      <c r="A51" s="2" t="s">
        <v>48</v>
      </c>
      <c r="B51" s="11">
        <v>184</v>
      </c>
      <c r="C51" s="12">
        <v>124</v>
      </c>
      <c r="D51" s="12">
        <f>SUM(B51:C51)</f>
        <v>308</v>
      </c>
      <c r="E51" s="11">
        <v>4</v>
      </c>
      <c r="F51" s="12">
        <v>11</v>
      </c>
      <c r="G51" s="12">
        <f>SUM(E51:F51)</f>
        <v>15</v>
      </c>
      <c r="H51" s="11">
        <f aca="true" t="shared" si="10" ref="H51:I54">SUM(B51,E51)</f>
        <v>188</v>
      </c>
      <c r="I51" s="12">
        <f t="shared" si="10"/>
        <v>135</v>
      </c>
      <c r="J51" s="12">
        <f>SUM(H51:I51)</f>
        <v>323</v>
      </c>
    </row>
    <row r="52" spans="1:10" ht="12.75">
      <c r="A52" s="2" t="s">
        <v>8</v>
      </c>
      <c r="B52" s="11">
        <v>398</v>
      </c>
      <c r="C52" s="12">
        <v>296</v>
      </c>
      <c r="D52" s="12">
        <f>SUM(B52:C52)</f>
        <v>694</v>
      </c>
      <c r="E52" s="11">
        <v>3</v>
      </c>
      <c r="F52" s="12">
        <v>15</v>
      </c>
      <c r="G52" s="12">
        <f>SUM(E52:F52)</f>
        <v>18</v>
      </c>
      <c r="H52" s="11">
        <f t="shared" si="10"/>
        <v>401</v>
      </c>
      <c r="I52" s="12">
        <f t="shared" si="10"/>
        <v>311</v>
      </c>
      <c r="J52" s="12">
        <f>SUM(H52:I52)</f>
        <v>712</v>
      </c>
    </row>
    <row r="53" spans="1:10" ht="12.75">
      <c r="A53" s="2" t="s">
        <v>9</v>
      </c>
      <c r="B53" s="11">
        <v>70</v>
      </c>
      <c r="C53" s="12">
        <v>54</v>
      </c>
      <c r="D53" s="12">
        <f>SUM(B53:C53)</f>
        <v>124</v>
      </c>
      <c r="E53" s="11">
        <v>2</v>
      </c>
      <c r="F53" s="12">
        <v>5</v>
      </c>
      <c r="G53" s="12">
        <f>SUM(E53:F53)</f>
        <v>7</v>
      </c>
      <c r="H53" s="11">
        <f t="shared" si="10"/>
        <v>72</v>
      </c>
      <c r="I53" s="12">
        <f t="shared" si="10"/>
        <v>59</v>
      </c>
      <c r="J53" s="12">
        <f>SUM(H53:I53)</f>
        <v>131</v>
      </c>
    </row>
    <row r="54" spans="1:10" ht="12.75">
      <c r="A54" s="2" t="s">
        <v>10</v>
      </c>
      <c r="B54" s="11">
        <v>50</v>
      </c>
      <c r="C54" s="12">
        <v>49</v>
      </c>
      <c r="D54" s="12">
        <f>SUM(B54:C54)</f>
        <v>99</v>
      </c>
      <c r="E54" s="11">
        <v>1</v>
      </c>
      <c r="F54" s="12">
        <v>6</v>
      </c>
      <c r="G54" s="12">
        <f>SUM(E54:F54)</f>
        <v>7</v>
      </c>
      <c r="H54" s="11">
        <f t="shared" si="10"/>
        <v>51</v>
      </c>
      <c r="I54" s="12">
        <f t="shared" si="10"/>
        <v>55</v>
      </c>
      <c r="J54" s="12">
        <f>SUM(H54:I54)</f>
        <v>106</v>
      </c>
    </row>
    <row r="55" spans="1:10" s="17" customFormat="1" ht="12.75">
      <c r="A55" s="19" t="s">
        <v>4</v>
      </c>
      <c r="B55" s="15">
        <f aca="true" t="shared" si="11" ref="B55:J55">SUM(B51:B54)</f>
        <v>702</v>
      </c>
      <c r="C55" s="16">
        <f t="shared" si="11"/>
        <v>523</v>
      </c>
      <c r="D55" s="16">
        <f t="shared" si="11"/>
        <v>1225</v>
      </c>
      <c r="E55" s="15">
        <f t="shared" si="11"/>
        <v>10</v>
      </c>
      <c r="F55" s="16">
        <f t="shared" si="11"/>
        <v>37</v>
      </c>
      <c r="G55" s="16">
        <f t="shared" si="11"/>
        <v>47</v>
      </c>
      <c r="H55" s="15">
        <f t="shared" si="11"/>
        <v>712</v>
      </c>
      <c r="I55" s="16">
        <f t="shared" si="11"/>
        <v>560</v>
      </c>
      <c r="J55" s="16">
        <f t="shared" si="11"/>
        <v>1272</v>
      </c>
    </row>
    <row r="56" spans="1:10" s="17" customFormat="1" ht="12.75">
      <c r="A56" s="19"/>
      <c r="B56" s="20"/>
      <c r="C56" s="21"/>
      <c r="D56" s="21"/>
      <c r="E56" s="20"/>
      <c r="F56" s="21"/>
      <c r="G56" s="21"/>
      <c r="H56" s="20"/>
      <c r="I56" s="21"/>
      <c r="J56" s="21"/>
    </row>
    <row r="57" spans="1:10" ht="12.75">
      <c r="A57" s="1" t="s">
        <v>15</v>
      </c>
      <c r="B57" s="11"/>
      <c r="C57" s="12"/>
      <c r="D57" s="12"/>
      <c r="E57" s="11"/>
      <c r="F57" s="12"/>
      <c r="G57" s="12"/>
      <c r="H57" s="11"/>
      <c r="I57" s="12"/>
      <c r="J57" s="12"/>
    </row>
    <row r="58" spans="1:10" ht="12.75">
      <c r="A58" s="2" t="s">
        <v>48</v>
      </c>
      <c r="B58" s="11">
        <v>178</v>
      </c>
      <c r="C58" s="12">
        <v>221</v>
      </c>
      <c r="D58" s="12">
        <f>SUM(B58:C58)</f>
        <v>399</v>
      </c>
      <c r="E58" s="11">
        <v>11</v>
      </c>
      <c r="F58" s="12">
        <v>27</v>
      </c>
      <c r="G58" s="12">
        <f>SUM(E58:F58)</f>
        <v>38</v>
      </c>
      <c r="H58" s="11">
        <f aca="true" t="shared" si="12" ref="H58:I61">SUM(B58,E58)</f>
        <v>189</v>
      </c>
      <c r="I58" s="12">
        <f t="shared" si="12"/>
        <v>248</v>
      </c>
      <c r="J58" s="12">
        <f>SUM(H58:I58)</f>
        <v>437</v>
      </c>
    </row>
    <row r="59" spans="1:10" ht="12.75">
      <c r="A59" s="2" t="s">
        <v>8</v>
      </c>
      <c r="B59" s="11">
        <v>35</v>
      </c>
      <c r="C59" s="12">
        <v>33</v>
      </c>
      <c r="D59" s="12">
        <f>SUM(B59:C59)</f>
        <v>68</v>
      </c>
      <c r="E59" s="11">
        <v>2</v>
      </c>
      <c r="F59" s="12">
        <v>4</v>
      </c>
      <c r="G59" s="12">
        <f>SUM(E59:F59)</f>
        <v>6</v>
      </c>
      <c r="H59" s="11">
        <f t="shared" si="12"/>
        <v>37</v>
      </c>
      <c r="I59" s="12">
        <f t="shared" si="12"/>
        <v>37</v>
      </c>
      <c r="J59" s="12">
        <f>SUM(H59:I59)</f>
        <v>74</v>
      </c>
    </row>
    <row r="60" spans="1:10" ht="12.75">
      <c r="A60" s="2" t="s">
        <v>9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ht="12.75">
      <c r="A61" s="22" t="s">
        <v>10</v>
      </c>
      <c r="B61" s="11">
        <v>2059</v>
      </c>
      <c r="C61" s="25">
        <v>2676</v>
      </c>
      <c r="D61" s="25">
        <f>SUM(B61:C61)</f>
        <v>4735</v>
      </c>
      <c r="E61" s="11">
        <v>66</v>
      </c>
      <c r="F61" s="25">
        <v>218</v>
      </c>
      <c r="G61" s="25">
        <f>SUM(E61:F61)</f>
        <v>284</v>
      </c>
      <c r="H61" s="11">
        <f t="shared" si="12"/>
        <v>2125</v>
      </c>
      <c r="I61" s="25">
        <f t="shared" si="12"/>
        <v>2894</v>
      </c>
      <c r="J61" s="25">
        <f>SUM(H61:I61)</f>
        <v>5019</v>
      </c>
    </row>
    <row r="62" spans="1:10" s="17" customFormat="1" ht="12.75">
      <c r="A62" s="19" t="s">
        <v>4</v>
      </c>
      <c r="B62" s="15">
        <f>SUM(B58:B61)</f>
        <v>2272</v>
      </c>
      <c r="C62" s="16">
        <f>SUM(C58:C61)</f>
        <v>2930</v>
      </c>
      <c r="D62" s="16">
        <f aca="true" t="shared" si="13" ref="D62:J62">SUM(D58:D61)</f>
        <v>5202</v>
      </c>
      <c r="E62" s="15">
        <f>SUM(E58:E61)</f>
        <v>79</v>
      </c>
      <c r="F62" s="16">
        <f>SUM(F58:F61)</f>
        <v>249</v>
      </c>
      <c r="G62" s="16">
        <f t="shared" si="13"/>
        <v>328</v>
      </c>
      <c r="H62" s="15">
        <f t="shared" si="13"/>
        <v>2351</v>
      </c>
      <c r="I62" s="16">
        <f t="shared" si="13"/>
        <v>3179</v>
      </c>
      <c r="J62" s="16">
        <f t="shared" si="13"/>
        <v>5530</v>
      </c>
    </row>
    <row r="63" spans="1:10" ht="12.75">
      <c r="A63" s="2"/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1" t="s">
        <v>16</v>
      </c>
      <c r="B64" s="11"/>
      <c r="C64" s="12"/>
      <c r="D64" s="12"/>
      <c r="E64" s="11"/>
      <c r="F64" s="12"/>
      <c r="G64" s="12"/>
      <c r="H64" s="11"/>
      <c r="I64" s="12"/>
      <c r="J64" s="12"/>
    </row>
    <row r="65" spans="1:12" ht="12.75">
      <c r="A65" s="2" t="s">
        <v>48</v>
      </c>
      <c r="B65" s="11">
        <v>0</v>
      </c>
      <c r="C65" s="12">
        <v>0</v>
      </c>
      <c r="D65" s="12">
        <f>SUM(B65:C65)</f>
        <v>0</v>
      </c>
      <c r="E65" s="11">
        <v>498</v>
      </c>
      <c r="F65" s="12">
        <v>1870</v>
      </c>
      <c r="G65" s="12">
        <f>SUM(E65:F65)</f>
        <v>2368</v>
      </c>
      <c r="H65" s="11">
        <f aca="true" t="shared" si="14" ref="H65:I69">SUM(B65,E65)</f>
        <v>498</v>
      </c>
      <c r="I65" s="12">
        <f t="shared" si="14"/>
        <v>1870</v>
      </c>
      <c r="J65" s="12">
        <f>SUM(H65:I65)</f>
        <v>2368</v>
      </c>
      <c r="K65" s="12"/>
      <c r="L65" s="12"/>
    </row>
    <row r="66" spans="1:12" ht="12.75">
      <c r="A66" s="2" t="s">
        <v>8</v>
      </c>
      <c r="B66" s="11">
        <v>0</v>
      </c>
      <c r="C66" s="12">
        <v>0</v>
      </c>
      <c r="D66" s="12">
        <f>SUM(B66:C66)</f>
        <v>0</v>
      </c>
      <c r="E66" s="11">
        <v>618</v>
      </c>
      <c r="F66" s="12">
        <v>2387</v>
      </c>
      <c r="G66" s="12">
        <f>SUM(E66:F66)</f>
        <v>3005</v>
      </c>
      <c r="H66" s="11">
        <f t="shared" si="14"/>
        <v>618</v>
      </c>
      <c r="I66" s="12">
        <f t="shared" si="14"/>
        <v>2387</v>
      </c>
      <c r="J66" s="12">
        <f>SUM(H66:I66)</f>
        <v>3005</v>
      </c>
      <c r="K66" s="12"/>
      <c r="L66" s="12"/>
    </row>
    <row r="67" spans="1:12" ht="12.75">
      <c r="A67" s="2" t="s">
        <v>9</v>
      </c>
      <c r="B67" s="11">
        <v>0</v>
      </c>
      <c r="C67" s="12">
        <v>0</v>
      </c>
      <c r="D67" s="12">
        <f>SUM(B67:C67)</f>
        <v>0</v>
      </c>
      <c r="E67" s="11">
        <v>18</v>
      </c>
      <c r="F67" s="12">
        <v>63</v>
      </c>
      <c r="G67" s="12">
        <f>SUM(E67:F67)</f>
        <v>81</v>
      </c>
      <c r="H67" s="11">
        <f t="shared" si="14"/>
        <v>18</v>
      </c>
      <c r="I67" s="12">
        <f t="shared" si="14"/>
        <v>63</v>
      </c>
      <c r="J67" s="12">
        <f>SUM(H67:I67)</f>
        <v>81</v>
      </c>
      <c r="K67" s="12"/>
      <c r="L67" s="12"/>
    </row>
    <row r="68" spans="1:10" ht="12.75">
      <c r="A68" s="22" t="s">
        <v>10</v>
      </c>
      <c r="B68" s="11">
        <v>0</v>
      </c>
      <c r="C68" s="25">
        <v>0</v>
      </c>
      <c r="D68" s="25">
        <f>SUM(B68:C68)</f>
        <v>0</v>
      </c>
      <c r="E68" s="11">
        <v>71</v>
      </c>
      <c r="F68" s="25">
        <v>231</v>
      </c>
      <c r="G68" s="25">
        <f>SUM(E68:F68)</f>
        <v>302</v>
      </c>
      <c r="H68" s="11">
        <f t="shared" si="14"/>
        <v>71</v>
      </c>
      <c r="I68" s="25">
        <f t="shared" si="14"/>
        <v>231</v>
      </c>
      <c r="J68" s="25">
        <f>SUM(H68:I68)</f>
        <v>302</v>
      </c>
    </row>
    <row r="69" spans="1:10" ht="12.75">
      <c r="A69" s="22" t="s">
        <v>17</v>
      </c>
      <c r="B69" s="11">
        <v>0</v>
      </c>
      <c r="C69" s="25">
        <v>0</v>
      </c>
      <c r="D69" s="25">
        <f>SUM(B69:C69)</f>
        <v>0</v>
      </c>
      <c r="E69" s="11">
        <v>194</v>
      </c>
      <c r="F69" s="25">
        <v>133</v>
      </c>
      <c r="G69" s="25">
        <f>SUM(E69:F69)</f>
        <v>327</v>
      </c>
      <c r="H69" s="11">
        <f t="shared" si="14"/>
        <v>194</v>
      </c>
      <c r="I69" s="25">
        <f t="shared" si="14"/>
        <v>133</v>
      </c>
      <c r="J69" s="25">
        <f>SUM(H69:I69)</f>
        <v>327</v>
      </c>
    </row>
    <row r="70" spans="1:10" s="17" customFormat="1" ht="12.75">
      <c r="A70" s="19" t="s">
        <v>4</v>
      </c>
      <c r="B70" s="15">
        <f>SUM(B65:B69)</f>
        <v>0</v>
      </c>
      <c r="C70" s="16">
        <f aca="true" t="shared" si="15" ref="C70:J70">SUM(C65:C69)</f>
        <v>0</v>
      </c>
      <c r="D70" s="16">
        <f t="shared" si="15"/>
        <v>0</v>
      </c>
      <c r="E70" s="15">
        <f t="shared" si="15"/>
        <v>1399</v>
      </c>
      <c r="F70" s="16">
        <f t="shared" si="15"/>
        <v>4684</v>
      </c>
      <c r="G70" s="16">
        <f t="shared" si="15"/>
        <v>6083</v>
      </c>
      <c r="H70" s="15">
        <f t="shared" si="15"/>
        <v>1399</v>
      </c>
      <c r="I70" s="16">
        <f t="shared" si="15"/>
        <v>4684</v>
      </c>
      <c r="J70" s="16">
        <f t="shared" si="15"/>
        <v>6083</v>
      </c>
    </row>
    <row r="71" spans="1:10" s="17" customFormat="1" ht="12.75">
      <c r="A71" s="19"/>
      <c r="B71" s="20"/>
      <c r="C71" s="21"/>
      <c r="D71" s="21"/>
      <c r="E71" s="20"/>
      <c r="F71" s="21"/>
      <c r="G71" s="21"/>
      <c r="H71" s="20"/>
      <c r="I71" s="21"/>
      <c r="J71" s="21"/>
    </row>
    <row r="72" spans="1:10" s="26" customFormat="1" ht="26.25">
      <c r="A72" s="218" t="s">
        <v>75</v>
      </c>
      <c r="B72" s="23">
        <f aca="true" t="shared" si="16" ref="B72:J72">SUM(B70,B62,B55,B48,B38,B35,B28,B21,B14)</f>
        <v>47099</v>
      </c>
      <c r="C72" s="24">
        <f t="shared" si="16"/>
        <v>105205</v>
      </c>
      <c r="D72" s="24">
        <f t="shared" si="16"/>
        <v>152304</v>
      </c>
      <c r="E72" s="23">
        <f t="shared" si="16"/>
        <v>5679</v>
      </c>
      <c r="F72" s="24">
        <f t="shared" si="16"/>
        <v>21170</v>
      </c>
      <c r="G72" s="24">
        <f t="shared" si="16"/>
        <v>26849</v>
      </c>
      <c r="H72" s="23">
        <f t="shared" si="16"/>
        <v>52778</v>
      </c>
      <c r="I72" s="24">
        <f t="shared" si="16"/>
        <v>126375</v>
      </c>
      <c r="J72" s="24">
        <f t="shared" si="16"/>
        <v>179153</v>
      </c>
    </row>
    <row r="73" spans="1:10" s="26" customFormat="1" ht="12.75">
      <c r="A73" s="218"/>
      <c r="B73" s="23"/>
      <c r="C73" s="24"/>
      <c r="D73" s="24"/>
      <c r="E73" s="23"/>
      <c r="F73" s="24"/>
      <c r="G73" s="24"/>
      <c r="H73" s="23"/>
      <c r="I73" s="24"/>
      <c r="J73" s="24"/>
    </row>
    <row r="74" spans="1:10" ht="26.25">
      <c r="A74" s="218" t="s">
        <v>76</v>
      </c>
      <c r="B74" s="23">
        <f>SUM(B70,B62,B55,B48,B38,B35,B28,B21,B14,B41)</f>
        <v>47216</v>
      </c>
      <c r="C74" s="24">
        <f aca="true" t="shared" si="17" ref="C74:J74">SUM(C70,C62,C55,C48,C38,C35,C28,C21,C14,C41)</f>
        <v>105824</v>
      </c>
      <c r="D74" s="219">
        <f t="shared" si="17"/>
        <v>153040</v>
      </c>
      <c r="E74" s="23">
        <f t="shared" si="17"/>
        <v>5685</v>
      </c>
      <c r="F74" s="24">
        <f t="shared" si="17"/>
        <v>21237</v>
      </c>
      <c r="G74" s="219">
        <f t="shared" si="17"/>
        <v>26922</v>
      </c>
      <c r="H74" s="23">
        <f t="shared" si="17"/>
        <v>52901</v>
      </c>
      <c r="I74" s="24">
        <f t="shared" si="17"/>
        <v>127061</v>
      </c>
      <c r="J74" s="24">
        <f t="shared" si="17"/>
        <v>179962</v>
      </c>
    </row>
    <row r="75" spans="1:10" ht="12.75">
      <c r="A75" s="22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.75">
      <c r="A76" s="188" t="s">
        <v>18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7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1.57421875" style="0" customWidth="1"/>
    <col min="2" max="2" width="10.28125" style="0" customWidth="1"/>
    <col min="3" max="3" width="13.00390625" style="0" customWidth="1"/>
    <col min="4" max="4" width="10.8515625" style="0" customWidth="1"/>
    <col min="5" max="5" width="9.28125" style="0" bestFit="1" customWidth="1"/>
    <col min="6" max="6" width="10.8515625" style="0" customWidth="1"/>
    <col min="7" max="7" width="11.00390625" style="0" customWidth="1"/>
    <col min="8" max="8" width="9.7109375" style="0" bestFit="1" customWidth="1"/>
    <col min="9" max="9" width="10.28125" style="0" customWidth="1"/>
    <col min="10" max="10" width="12.00390625" style="0" customWidth="1"/>
  </cols>
  <sheetData>
    <row r="1" spans="1:10" ht="12.75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26</v>
      </c>
      <c r="B2" s="6"/>
      <c r="C2" s="6"/>
      <c r="D2" s="6"/>
      <c r="E2" s="7"/>
      <c r="F2" s="7"/>
      <c r="G2" s="6"/>
      <c r="H2" s="6"/>
      <c r="I2" s="6"/>
      <c r="J2" s="6"/>
    </row>
    <row r="3" spans="1:10" ht="12.75">
      <c r="A3" s="6"/>
      <c r="B3" s="6"/>
      <c r="C3" s="6"/>
      <c r="D3" s="6"/>
      <c r="E3" s="7"/>
      <c r="F3" s="5"/>
      <c r="G3" s="6"/>
      <c r="H3" s="6"/>
      <c r="I3" s="6"/>
      <c r="J3" s="6"/>
    </row>
    <row r="4" spans="1:10" ht="12.75">
      <c r="A4" s="5" t="s">
        <v>70</v>
      </c>
      <c r="B4" s="6"/>
      <c r="C4" s="6"/>
      <c r="D4" s="6"/>
      <c r="E4" s="7"/>
      <c r="F4" s="7"/>
      <c r="G4" s="6"/>
      <c r="H4" s="6"/>
      <c r="I4" s="6"/>
      <c r="J4" s="6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5" t="s">
        <v>80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3.5" thickBot="1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67"/>
      <c r="B8" s="68" t="s">
        <v>27</v>
      </c>
      <c r="C8" s="69"/>
      <c r="D8" s="69"/>
      <c r="E8" s="68" t="s">
        <v>28</v>
      </c>
      <c r="F8" s="69"/>
      <c r="G8" s="69"/>
      <c r="H8" s="68" t="s">
        <v>4</v>
      </c>
      <c r="I8" s="69"/>
      <c r="J8" s="69"/>
    </row>
    <row r="9" spans="1:10" ht="12.75">
      <c r="A9" s="212" t="s">
        <v>29</v>
      </c>
      <c r="B9" s="170" t="s">
        <v>5</v>
      </c>
      <c r="C9" s="171" t="s">
        <v>6</v>
      </c>
      <c r="D9" s="171" t="s">
        <v>4</v>
      </c>
      <c r="E9" s="170" t="s">
        <v>5</v>
      </c>
      <c r="F9" s="171" t="s">
        <v>6</v>
      </c>
      <c r="G9" s="171" t="s">
        <v>4</v>
      </c>
      <c r="H9" s="170" t="s">
        <v>5</v>
      </c>
      <c r="I9" s="171" t="s">
        <v>6</v>
      </c>
      <c r="J9" s="171" t="s">
        <v>4</v>
      </c>
    </row>
    <row r="10" spans="1:10" ht="12.75">
      <c r="A10" s="73"/>
      <c r="B10" s="13"/>
      <c r="C10" s="74"/>
      <c r="D10" s="74"/>
      <c r="E10" s="13"/>
      <c r="F10" s="74"/>
      <c r="G10" s="74"/>
      <c r="H10" s="13"/>
      <c r="I10" s="74"/>
      <c r="J10" s="74"/>
    </row>
    <row r="11" spans="1:10" ht="12.75">
      <c r="A11" s="2" t="s">
        <v>30</v>
      </c>
      <c r="B11" s="11">
        <f>0</f>
        <v>0</v>
      </c>
      <c r="C11" s="12">
        <f>1</f>
        <v>1</v>
      </c>
      <c r="D11" s="12">
        <f>SUM(B11:C11)</f>
        <v>1</v>
      </c>
      <c r="E11" s="11">
        <f>1171-1</f>
        <v>1170</v>
      </c>
      <c r="F11" s="12">
        <f>5277-2</f>
        <v>5275</v>
      </c>
      <c r="G11" s="12">
        <f aca="true" t="shared" si="0" ref="G11:G19">SUM(E11:F11)</f>
        <v>6445</v>
      </c>
      <c r="H11" s="11">
        <f>SUM(B11,E11)</f>
        <v>1170</v>
      </c>
      <c r="I11" s="25">
        <f aca="true" t="shared" si="1" ref="I11:I19">SUM(C11,F11)</f>
        <v>5276</v>
      </c>
      <c r="J11" s="12">
        <f aca="true" t="shared" si="2" ref="J11:J19">SUM(H11:I11)</f>
        <v>6446</v>
      </c>
    </row>
    <row r="12" spans="1:10" ht="12.75">
      <c r="A12" s="2" t="s">
        <v>31</v>
      </c>
      <c r="B12" s="11">
        <f>986</f>
        <v>986</v>
      </c>
      <c r="C12" s="12">
        <f>3681</f>
        <v>3681</v>
      </c>
      <c r="D12" s="12">
        <f aca="true" t="shared" si="3" ref="D12:D19">SUM(B12:C12)</f>
        <v>4667</v>
      </c>
      <c r="E12" s="11">
        <f>4138-2</f>
        <v>4136</v>
      </c>
      <c r="F12" s="12">
        <f>12594-7</f>
        <v>12587</v>
      </c>
      <c r="G12" s="12">
        <f t="shared" si="0"/>
        <v>16723</v>
      </c>
      <c r="H12" s="11">
        <f aca="true" t="shared" si="4" ref="H12:H19">SUM(B12,E12)</f>
        <v>5122</v>
      </c>
      <c r="I12" s="25">
        <f t="shared" si="1"/>
        <v>16268</v>
      </c>
      <c r="J12" s="12">
        <f t="shared" si="2"/>
        <v>21390</v>
      </c>
    </row>
    <row r="13" spans="1:10" ht="12.75">
      <c r="A13" s="2" t="s">
        <v>32</v>
      </c>
      <c r="B13" s="11">
        <f>2745</f>
        <v>2745</v>
      </c>
      <c r="C13" s="12">
        <f>9114</f>
        <v>9114</v>
      </c>
      <c r="D13" s="12">
        <f t="shared" si="3"/>
        <v>11859</v>
      </c>
      <c r="E13" s="11">
        <f>2732-1</f>
        <v>2731</v>
      </c>
      <c r="F13" s="12">
        <f>5720-1</f>
        <v>5719</v>
      </c>
      <c r="G13" s="12">
        <f t="shared" si="0"/>
        <v>8450</v>
      </c>
      <c r="H13" s="11">
        <f t="shared" si="4"/>
        <v>5476</v>
      </c>
      <c r="I13" s="25">
        <f t="shared" si="1"/>
        <v>14833</v>
      </c>
      <c r="J13" s="12">
        <f t="shared" si="2"/>
        <v>20309</v>
      </c>
    </row>
    <row r="14" spans="1:10" ht="12.75">
      <c r="A14" s="2" t="s">
        <v>33</v>
      </c>
      <c r="B14" s="13">
        <f>3275-1</f>
        <v>3274</v>
      </c>
      <c r="C14" s="12">
        <f>10617-2</f>
        <v>10615</v>
      </c>
      <c r="D14" s="12">
        <f t="shared" si="3"/>
        <v>13889</v>
      </c>
      <c r="E14" s="11">
        <f>1658-1</f>
        <v>1657</v>
      </c>
      <c r="F14" s="12">
        <f>3089-2</f>
        <v>3087</v>
      </c>
      <c r="G14" s="12">
        <f t="shared" si="0"/>
        <v>4744</v>
      </c>
      <c r="H14" s="11">
        <f t="shared" si="4"/>
        <v>4931</v>
      </c>
      <c r="I14" s="25">
        <f t="shared" si="1"/>
        <v>13702</v>
      </c>
      <c r="J14" s="12">
        <f t="shared" si="2"/>
        <v>18633</v>
      </c>
    </row>
    <row r="15" spans="1:10" ht="12.75">
      <c r="A15" s="2" t="s">
        <v>34</v>
      </c>
      <c r="B15" s="13">
        <f>3966-12</f>
        <v>3954</v>
      </c>
      <c r="C15" s="12">
        <f>11175-8</f>
        <v>11167</v>
      </c>
      <c r="D15" s="12">
        <f t="shared" si="3"/>
        <v>15121</v>
      </c>
      <c r="E15" s="11">
        <f>1361</f>
        <v>1361</v>
      </c>
      <c r="F15" s="12">
        <f>2219</f>
        <v>2219</v>
      </c>
      <c r="G15" s="12">
        <f t="shared" si="0"/>
        <v>3580</v>
      </c>
      <c r="H15" s="11">
        <f t="shared" si="4"/>
        <v>5315</v>
      </c>
      <c r="I15" s="25">
        <f t="shared" si="1"/>
        <v>13386</v>
      </c>
      <c r="J15" s="12">
        <f t="shared" si="2"/>
        <v>18701</v>
      </c>
    </row>
    <row r="16" spans="1:10" ht="12.75">
      <c r="A16" s="2" t="s">
        <v>35</v>
      </c>
      <c r="B16" s="13">
        <f>5497-31</f>
        <v>5466</v>
      </c>
      <c r="C16" s="12">
        <f>13365-34</f>
        <v>13331</v>
      </c>
      <c r="D16" s="12">
        <f t="shared" si="3"/>
        <v>18797</v>
      </c>
      <c r="E16" s="11">
        <f>1199-1</f>
        <v>1198</v>
      </c>
      <c r="F16" s="12">
        <f>1593-2</f>
        <v>1591</v>
      </c>
      <c r="G16" s="12">
        <f t="shared" si="0"/>
        <v>2789</v>
      </c>
      <c r="H16" s="11">
        <f t="shared" si="4"/>
        <v>6664</v>
      </c>
      <c r="I16" s="25">
        <f t="shared" si="1"/>
        <v>14922</v>
      </c>
      <c r="J16" s="12">
        <f t="shared" si="2"/>
        <v>21586</v>
      </c>
    </row>
    <row r="17" spans="1:10" ht="12.75">
      <c r="A17" s="2" t="s">
        <v>36</v>
      </c>
      <c r="B17" s="13">
        <f>7137-76</f>
        <v>7061</v>
      </c>
      <c r="C17" s="12">
        <f>12017-46</f>
        <v>11971</v>
      </c>
      <c r="D17" s="12">
        <f t="shared" si="3"/>
        <v>19032</v>
      </c>
      <c r="E17" s="11">
        <f>778</f>
        <v>778</v>
      </c>
      <c r="F17" s="12">
        <f>770</f>
        <v>770</v>
      </c>
      <c r="G17" s="12">
        <f t="shared" si="0"/>
        <v>1548</v>
      </c>
      <c r="H17" s="11">
        <f t="shared" si="4"/>
        <v>7839</v>
      </c>
      <c r="I17" s="25">
        <f t="shared" si="1"/>
        <v>12741</v>
      </c>
      <c r="J17" s="12">
        <f t="shared" si="2"/>
        <v>20580</v>
      </c>
    </row>
    <row r="18" spans="1:10" ht="12.75">
      <c r="A18" s="2" t="s">
        <v>37</v>
      </c>
      <c r="B18" s="13">
        <f>7596-73</f>
        <v>7523</v>
      </c>
      <c r="C18" s="12">
        <f>11252-36</f>
        <v>11216</v>
      </c>
      <c r="D18" s="12">
        <f t="shared" si="3"/>
        <v>18739</v>
      </c>
      <c r="E18" s="11">
        <f>444</f>
        <v>444</v>
      </c>
      <c r="F18" s="12">
        <f>247-2</f>
        <v>245</v>
      </c>
      <c r="G18" s="12">
        <f t="shared" si="0"/>
        <v>689</v>
      </c>
      <c r="H18" s="11">
        <f t="shared" si="4"/>
        <v>7967</v>
      </c>
      <c r="I18" s="25">
        <f t="shared" si="1"/>
        <v>11461</v>
      </c>
      <c r="J18" s="12">
        <f t="shared" si="2"/>
        <v>19428</v>
      </c>
    </row>
    <row r="19" spans="1:10" ht="12.75">
      <c r="A19" s="2" t="s">
        <v>38</v>
      </c>
      <c r="B19" s="13">
        <f>2443-67</f>
        <v>2376</v>
      </c>
      <c r="C19" s="12">
        <f>2532-8</f>
        <v>2524</v>
      </c>
      <c r="D19" s="75">
        <f t="shared" si="3"/>
        <v>4900</v>
      </c>
      <c r="E19" s="11">
        <f>239</f>
        <v>239</v>
      </c>
      <c r="F19" s="12">
        <f>92</f>
        <v>92</v>
      </c>
      <c r="G19" s="75">
        <f t="shared" si="0"/>
        <v>331</v>
      </c>
      <c r="H19" s="11">
        <f t="shared" si="4"/>
        <v>2615</v>
      </c>
      <c r="I19" s="75">
        <f t="shared" si="1"/>
        <v>2616</v>
      </c>
      <c r="J19" s="75">
        <f t="shared" si="2"/>
        <v>5231</v>
      </c>
    </row>
    <row r="20" spans="1:10" ht="12.75">
      <c r="A20" s="19" t="s">
        <v>4</v>
      </c>
      <c r="B20" s="76">
        <f aca="true" t="shared" si="5" ref="B20:J20">SUM(B11:B19)</f>
        <v>33385</v>
      </c>
      <c r="C20" s="77">
        <f>SUM(C11:C19)</f>
        <v>73620</v>
      </c>
      <c r="D20" s="77">
        <f t="shared" si="5"/>
        <v>107005</v>
      </c>
      <c r="E20" s="76">
        <f t="shared" si="5"/>
        <v>13714</v>
      </c>
      <c r="F20" s="77">
        <f t="shared" si="5"/>
        <v>31585</v>
      </c>
      <c r="G20" s="77">
        <f t="shared" si="5"/>
        <v>45299</v>
      </c>
      <c r="H20" s="76">
        <f t="shared" si="5"/>
        <v>47099</v>
      </c>
      <c r="I20" s="77">
        <f t="shared" si="5"/>
        <v>105205</v>
      </c>
      <c r="J20" s="77">
        <f t="shared" si="5"/>
        <v>152304</v>
      </c>
    </row>
    <row r="23" spans="1:10" ht="12.75">
      <c r="A23" s="5" t="s">
        <v>81</v>
      </c>
      <c r="B23" s="65"/>
      <c r="C23" s="65"/>
      <c r="D23" s="65"/>
      <c r="E23" s="65"/>
      <c r="F23" s="66"/>
      <c r="G23" s="65"/>
      <c r="H23" s="65"/>
      <c r="I23" s="65"/>
      <c r="J23" s="65"/>
    </row>
    <row r="24" spans="1:10" ht="13.5" thickBot="1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7"/>
      <c r="B25" s="68" t="s">
        <v>27</v>
      </c>
      <c r="C25" s="69"/>
      <c r="D25" s="69"/>
      <c r="E25" s="68" t="s">
        <v>28</v>
      </c>
      <c r="F25" s="69"/>
      <c r="G25" s="69"/>
      <c r="H25" s="68" t="s">
        <v>4</v>
      </c>
      <c r="I25" s="69"/>
      <c r="J25" s="69"/>
    </row>
    <row r="26" spans="1:10" ht="12.75">
      <c r="A26" s="212" t="s">
        <v>29</v>
      </c>
      <c r="B26" s="170" t="s">
        <v>5</v>
      </c>
      <c r="C26" s="171" t="s">
        <v>6</v>
      </c>
      <c r="D26" s="171" t="s">
        <v>4</v>
      </c>
      <c r="E26" s="170" t="s">
        <v>5</v>
      </c>
      <c r="F26" s="171" t="s">
        <v>6</v>
      </c>
      <c r="G26" s="171" t="s">
        <v>4</v>
      </c>
      <c r="H26" s="170" t="s">
        <v>5</v>
      </c>
      <c r="I26" s="171" t="s">
        <v>6</v>
      </c>
      <c r="J26" s="171" t="s">
        <v>4</v>
      </c>
    </row>
    <row r="27" spans="1:10" ht="12.75">
      <c r="A27" s="73"/>
      <c r="B27" s="13"/>
      <c r="C27" s="74"/>
      <c r="D27" s="74"/>
      <c r="E27" s="13"/>
      <c r="F27" s="74"/>
      <c r="G27" s="74"/>
      <c r="H27" s="13"/>
      <c r="I27" s="74"/>
      <c r="J27" s="74"/>
    </row>
    <row r="28" spans="1:10" ht="12.75">
      <c r="A28" s="2" t="s">
        <v>30</v>
      </c>
      <c r="B28" s="11">
        <f>0</f>
        <v>0</v>
      </c>
      <c r="C28" s="12">
        <f>1</f>
        <v>1</v>
      </c>
      <c r="D28" s="12">
        <f>SUM(B28:C28)</f>
        <v>1</v>
      </c>
      <c r="E28" s="11">
        <f>1171-1+2</f>
        <v>1172</v>
      </c>
      <c r="F28" s="12">
        <f>5277-2+4</f>
        <v>5279</v>
      </c>
      <c r="G28" s="12">
        <f aca="true" t="shared" si="6" ref="G28:G36">SUM(E28:F28)</f>
        <v>6451</v>
      </c>
      <c r="H28" s="11">
        <f>SUM(B28,E28)</f>
        <v>1172</v>
      </c>
      <c r="I28" s="25">
        <f aca="true" t="shared" si="7" ref="I28:I36">SUM(C28,F28)</f>
        <v>5280</v>
      </c>
      <c r="J28" s="12">
        <f aca="true" t="shared" si="8" ref="J28:J36">SUM(H28:I28)</f>
        <v>6452</v>
      </c>
    </row>
    <row r="29" spans="1:10" ht="12.75">
      <c r="A29" s="2" t="s">
        <v>31</v>
      </c>
      <c r="B29" s="11">
        <f>986</f>
        <v>986</v>
      </c>
      <c r="C29" s="12">
        <f>3681</f>
        <v>3681</v>
      </c>
      <c r="D29" s="12">
        <f aca="true" t="shared" si="9" ref="D29:D36">SUM(B29:C29)</f>
        <v>4667</v>
      </c>
      <c r="E29" s="11">
        <f>4138-2+10</f>
        <v>4146</v>
      </c>
      <c r="F29" s="12">
        <f>12594-7+110</f>
        <v>12697</v>
      </c>
      <c r="G29" s="12">
        <f t="shared" si="6"/>
        <v>16843</v>
      </c>
      <c r="H29" s="11">
        <f aca="true" t="shared" si="10" ref="H29:H36">SUM(B29,E29)</f>
        <v>5132</v>
      </c>
      <c r="I29" s="25">
        <f t="shared" si="7"/>
        <v>16378</v>
      </c>
      <c r="J29" s="12">
        <f t="shared" si="8"/>
        <v>21510</v>
      </c>
    </row>
    <row r="30" spans="1:10" ht="12.75">
      <c r="A30" s="2" t="s">
        <v>32</v>
      </c>
      <c r="B30" s="11">
        <f>2745</f>
        <v>2745</v>
      </c>
      <c r="C30" s="12">
        <f>9114</f>
        <v>9114</v>
      </c>
      <c r="D30" s="12">
        <f t="shared" si="9"/>
        <v>11859</v>
      </c>
      <c r="E30" s="11">
        <f>2732-1+21</f>
        <v>2752</v>
      </c>
      <c r="F30" s="12">
        <f>5720-1+141</f>
        <v>5860</v>
      </c>
      <c r="G30" s="12">
        <f t="shared" si="6"/>
        <v>8612</v>
      </c>
      <c r="H30" s="11">
        <f t="shared" si="10"/>
        <v>5497</v>
      </c>
      <c r="I30" s="25">
        <f t="shared" si="7"/>
        <v>14974</v>
      </c>
      <c r="J30" s="12">
        <f t="shared" si="8"/>
        <v>20471</v>
      </c>
    </row>
    <row r="31" spans="1:10" ht="12.75">
      <c r="A31" s="2" t="s">
        <v>33</v>
      </c>
      <c r="B31" s="13">
        <f>3275-1</f>
        <v>3274</v>
      </c>
      <c r="C31" s="12">
        <f>10617-2</f>
        <v>10615</v>
      </c>
      <c r="D31" s="12">
        <f t="shared" si="9"/>
        <v>13889</v>
      </c>
      <c r="E31" s="11">
        <f>1658-1+18</f>
        <v>1675</v>
      </c>
      <c r="F31" s="12">
        <f>3089-2+95</f>
        <v>3182</v>
      </c>
      <c r="G31" s="12">
        <f t="shared" si="6"/>
        <v>4857</v>
      </c>
      <c r="H31" s="11">
        <f t="shared" si="10"/>
        <v>4949</v>
      </c>
      <c r="I31" s="25">
        <f t="shared" si="7"/>
        <v>13797</v>
      </c>
      <c r="J31" s="12">
        <f t="shared" si="8"/>
        <v>18746</v>
      </c>
    </row>
    <row r="32" spans="1:10" ht="12.75">
      <c r="A32" s="2" t="s">
        <v>34</v>
      </c>
      <c r="B32" s="13">
        <f>3966-12</f>
        <v>3954</v>
      </c>
      <c r="C32" s="12">
        <f>11175-8</f>
        <v>11167</v>
      </c>
      <c r="D32" s="12">
        <f t="shared" si="9"/>
        <v>15121</v>
      </c>
      <c r="E32" s="11">
        <f>1361+15</f>
        <v>1376</v>
      </c>
      <c r="F32" s="12">
        <f>2219+60</f>
        <v>2279</v>
      </c>
      <c r="G32" s="12">
        <f t="shared" si="6"/>
        <v>3655</v>
      </c>
      <c r="H32" s="11">
        <f t="shared" si="10"/>
        <v>5330</v>
      </c>
      <c r="I32" s="25">
        <f t="shared" si="7"/>
        <v>13446</v>
      </c>
      <c r="J32" s="12">
        <f t="shared" si="8"/>
        <v>18776</v>
      </c>
    </row>
    <row r="33" spans="1:10" ht="12.75">
      <c r="A33" s="2" t="s">
        <v>35</v>
      </c>
      <c r="B33" s="13">
        <f>5497-31</f>
        <v>5466</v>
      </c>
      <c r="C33" s="12">
        <f>13365-34</f>
        <v>13331</v>
      </c>
      <c r="D33" s="12">
        <f t="shared" si="9"/>
        <v>18797</v>
      </c>
      <c r="E33" s="11">
        <f>1199-1+23</f>
        <v>1221</v>
      </c>
      <c r="F33" s="12">
        <f>1593-2+94</f>
        <v>1685</v>
      </c>
      <c r="G33" s="12">
        <f t="shared" si="6"/>
        <v>2906</v>
      </c>
      <c r="H33" s="11">
        <f t="shared" si="10"/>
        <v>6687</v>
      </c>
      <c r="I33" s="25">
        <f t="shared" si="7"/>
        <v>15016</v>
      </c>
      <c r="J33" s="12">
        <f t="shared" si="8"/>
        <v>21703</v>
      </c>
    </row>
    <row r="34" spans="1:10" ht="12.75">
      <c r="A34" s="2" t="s">
        <v>36</v>
      </c>
      <c r="B34" s="13">
        <f>7137-76</f>
        <v>7061</v>
      </c>
      <c r="C34" s="12">
        <f>12017-46</f>
        <v>11971</v>
      </c>
      <c r="D34" s="12">
        <f t="shared" si="9"/>
        <v>19032</v>
      </c>
      <c r="E34" s="11">
        <f>778+20</f>
        <v>798</v>
      </c>
      <c r="F34" s="12">
        <f>770+79</f>
        <v>849</v>
      </c>
      <c r="G34" s="12">
        <f t="shared" si="6"/>
        <v>1647</v>
      </c>
      <c r="H34" s="11">
        <f t="shared" si="10"/>
        <v>7859</v>
      </c>
      <c r="I34" s="25">
        <f t="shared" si="7"/>
        <v>12820</v>
      </c>
      <c r="J34" s="12">
        <f t="shared" si="8"/>
        <v>20679</v>
      </c>
    </row>
    <row r="35" spans="1:10" ht="12.75">
      <c r="A35" s="2" t="s">
        <v>37</v>
      </c>
      <c r="B35" s="13">
        <f>7596-73</f>
        <v>7523</v>
      </c>
      <c r="C35" s="12">
        <f>11252-36</f>
        <v>11216</v>
      </c>
      <c r="D35" s="12">
        <f t="shared" si="9"/>
        <v>18739</v>
      </c>
      <c r="E35" s="11">
        <f>444+8</f>
        <v>452</v>
      </c>
      <c r="F35" s="12">
        <f>247-2+28</f>
        <v>273</v>
      </c>
      <c r="G35" s="12">
        <f t="shared" si="6"/>
        <v>725</v>
      </c>
      <c r="H35" s="11">
        <f t="shared" si="10"/>
        <v>7975</v>
      </c>
      <c r="I35" s="25">
        <f t="shared" si="7"/>
        <v>11489</v>
      </c>
      <c r="J35" s="12">
        <f t="shared" si="8"/>
        <v>19464</v>
      </c>
    </row>
    <row r="36" spans="1:10" ht="12.75">
      <c r="A36" s="2" t="s">
        <v>38</v>
      </c>
      <c r="B36" s="13">
        <f>2443-67</f>
        <v>2376</v>
      </c>
      <c r="C36" s="12">
        <f>2532-8</f>
        <v>2524</v>
      </c>
      <c r="D36" s="75">
        <f t="shared" si="9"/>
        <v>4900</v>
      </c>
      <c r="E36" s="11">
        <f>239</f>
        <v>239</v>
      </c>
      <c r="F36" s="12">
        <f>92+8</f>
        <v>100</v>
      </c>
      <c r="G36" s="75">
        <f t="shared" si="6"/>
        <v>339</v>
      </c>
      <c r="H36" s="11">
        <f t="shared" si="10"/>
        <v>2615</v>
      </c>
      <c r="I36" s="75">
        <f t="shared" si="7"/>
        <v>2624</v>
      </c>
      <c r="J36" s="75">
        <f t="shared" si="8"/>
        <v>5239</v>
      </c>
    </row>
    <row r="37" spans="1:10" ht="12.75">
      <c r="A37" s="19" t="s">
        <v>4</v>
      </c>
      <c r="B37" s="76">
        <f aca="true" t="shared" si="11" ref="B37:J37">SUM(B28:B36)</f>
        <v>33385</v>
      </c>
      <c r="C37" s="77">
        <f t="shared" si="11"/>
        <v>73620</v>
      </c>
      <c r="D37" s="77">
        <f t="shared" si="11"/>
        <v>107005</v>
      </c>
      <c r="E37" s="76">
        <f t="shared" si="11"/>
        <v>13831</v>
      </c>
      <c r="F37" s="77">
        <f t="shared" si="11"/>
        <v>32204</v>
      </c>
      <c r="G37" s="77">
        <f t="shared" si="11"/>
        <v>46035</v>
      </c>
      <c r="H37" s="76">
        <f t="shared" si="11"/>
        <v>47216</v>
      </c>
      <c r="I37" s="77">
        <f t="shared" si="11"/>
        <v>105824</v>
      </c>
      <c r="J37" s="77">
        <f t="shared" si="11"/>
        <v>153040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62" sqref="A62"/>
    </sheetView>
  </sheetViews>
  <sheetFormatPr defaultColWidth="9.140625" defaultRowHeight="12.75"/>
  <cols>
    <col min="1" max="1" width="33.140625" style="81" customWidth="1"/>
    <col min="2" max="2" width="11.00390625" style="81" customWidth="1"/>
    <col min="3" max="3" width="10.28125" style="81" customWidth="1"/>
    <col min="4" max="4" width="9.7109375" style="81" customWidth="1"/>
    <col min="5" max="5" width="7.8515625" style="81" customWidth="1"/>
    <col min="6" max="6" width="11.00390625" style="81" customWidth="1"/>
    <col min="7" max="7" width="10.00390625" style="81" customWidth="1"/>
    <col min="8" max="8" width="7.8515625" style="81" customWidth="1"/>
    <col min="9" max="9" width="10.00390625" style="81" customWidth="1"/>
    <col min="10" max="10" width="10.28125" style="81" customWidth="1"/>
    <col min="11" max="12" width="7.8515625" style="81" customWidth="1"/>
    <col min="13" max="13" width="11.00390625" style="81" customWidth="1"/>
    <col min="14" max="14" width="10.00390625" style="81" customWidth="1"/>
    <col min="15" max="15" width="10.28125" style="81" customWidth="1"/>
    <col min="16" max="16" width="10.7109375" style="81" customWidth="1"/>
    <col min="17" max="17" width="9.7109375" style="81" customWidth="1"/>
    <col min="18" max="19" width="10.421875" style="81" customWidth="1"/>
    <col min="20" max="16384" width="9.140625" style="81" customWidth="1"/>
  </cols>
  <sheetData>
    <row r="1" spans="1:19" ht="12.75">
      <c r="A1" s="78" t="s">
        <v>65</v>
      </c>
      <c r="B1" s="79"/>
      <c r="C1" s="79"/>
      <c r="D1" s="79"/>
      <c r="E1" s="80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>
      <c r="A2" s="82" t="s">
        <v>57</v>
      </c>
      <c r="B2" s="83"/>
      <c r="C2" s="83"/>
      <c r="D2" s="82"/>
      <c r="E2" s="84"/>
      <c r="F2" s="83"/>
      <c r="G2" s="85"/>
      <c r="H2" s="83"/>
      <c r="I2" s="85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>
      <c r="A3" s="82"/>
      <c r="B3" s="83"/>
      <c r="C3" s="83"/>
      <c r="D3" s="83"/>
      <c r="E3" s="84"/>
      <c r="F3" s="82"/>
      <c r="G3" s="85"/>
      <c r="H3" s="83"/>
      <c r="I3" s="85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.75">
      <c r="A4" s="82" t="s">
        <v>69</v>
      </c>
      <c r="B4" s="83"/>
      <c r="C4" s="83"/>
      <c r="D4" s="83"/>
      <c r="E4" s="84"/>
      <c r="F4" s="82"/>
      <c r="G4" s="85"/>
      <c r="H4" s="83"/>
      <c r="I4" s="85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3.5" thickBot="1">
      <c r="A5" s="79"/>
      <c r="B5" s="79"/>
      <c r="C5" s="79"/>
      <c r="D5" s="79"/>
      <c r="E5" s="80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2.75">
      <c r="A6" s="86"/>
      <c r="B6" s="161" t="s">
        <v>39</v>
      </c>
      <c r="C6" s="162"/>
      <c r="D6" s="162"/>
      <c r="E6" s="162"/>
      <c r="F6" s="162"/>
      <c r="G6" s="162"/>
      <c r="H6" s="161" t="s">
        <v>40</v>
      </c>
      <c r="I6" s="162"/>
      <c r="J6" s="162"/>
      <c r="K6" s="162"/>
      <c r="L6" s="162"/>
      <c r="M6" s="162"/>
      <c r="N6" s="161" t="s">
        <v>4</v>
      </c>
      <c r="O6" s="162"/>
      <c r="P6" s="162"/>
      <c r="Q6" s="162"/>
      <c r="R6" s="162"/>
      <c r="S6" s="162"/>
    </row>
    <row r="7" spans="1:19" ht="12.75">
      <c r="A7" s="80"/>
      <c r="B7" s="163" t="s">
        <v>27</v>
      </c>
      <c r="C7" s="164"/>
      <c r="D7" s="164"/>
      <c r="E7" s="163" t="s">
        <v>28</v>
      </c>
      <c r="F7" s="164"/>
      <c r="G7" s="164"/>
      <c r="H7" s="163" t="s">
        <v>27</v>
      </c>
      <c r="I7" s="164"/>
      <c r="J7" s="164"/>
      <c r="K7" s="163" t="s">
        <v>28</v>
      </c>
      <c r="L7" s="164"/>
      <c r="M7" s="164"/>
      <c r="N7" s="163" t="s">
        <v>27</v>
      </c>
      <c r="O7" s="164"/>
      <c r="P7" s="164"/>
      <c r="Q7" s="163" t="s">
        <v>28</v>
      </c>
      <c r="R7" s="164"/>
      <c r="S7" s="164"/>
    </row>
    <row r="8" spans="1:19" ht="12.75">
      <c r="A8" s="87"/>
      <c r="B8" s="191" t="s">
        <v>5</v>
      </c>
      <c r="C8" s="192" t="s">
        <v>6</v>
      </c>
      <c r="D8" s="192" t="s">
        <v>4</v>
      </c>
      <c r="E8" s="191" t="s">
        <v>5</v>
      </c>
      <c r="F8" s="192" t="s">
        <v>6</v>
      </c>
      <c r="G8" s="192" t="s">
        <v>4</v>
      </c>
      <c r="H8" s="191" t="s">
        <v>5</v>
      </c>
      <c r="I8" s="192" t="s">
        <v>6</v>
      </c>
      <c r="J8" s="192" t="s">
        <v>4</v>
      </c>
      <c r="K8" s="191" t="s">
        <v>5</v>
      </c>
      <c r="L8" s="192" t="s">
        <v>6</v>
      </c>
      <c r="M8" s="192" t="s">
        <v>4</v>
      </c>
      <c r="N8" s="191" t="s">
        <v>5</v>
      </c>
      <c r="O8" s="192" t="s">
        <v>6</v>
      </c>
      <c r="P8" s="192" t="s">
        <v>4</v>
      </c>
      <c r="Q8" s="191" t="s">
        <v>5</v>
      </c>
      <c r="R8" s="192" t="s">
        <v>6</v>
      </c>
      <c r="S8" s="192" t="s">
        <v>4</v>
      </c>
    </row>
    <row r="9" spans="1:19" ht="12.75">
      <c r="A9" s="78"/>
      <c r="B9" s="88"/>
      <c r="C9" s="78"/>
      <c r="D9" s="78"/>
      <c r="E9" s="89"/>
      <c r="F9" s="79"/>
      <c r="G9" s="79"/>
      <c r="H9" s="89"/>
      <c r="I9" s="79"/>
      <c r="J9" s="79"/>
      <c r="K9" s="89"/>
      <c r="L9" s="79"/>
      <c r="M9" s="79"/>
      <c r="N9" s="89"/>
      <c r="O9" s="79"/>
      <c r="P9" s="79"/>
      <c r="Q9" s="89"/>
      <c r="R9" s="79"/>
      <c r="S9" s="79"/>
    </row>
    <row r="10" spans="1:19" ht="12.75">
      <c r="A10" s="78" t="s">
        <v>7</v>
      </c>
      <c r="B10" s="90"/>
      <c r="C10" s="91"/>
      <c r="D10" s="91"/>
      <c r="E10" s="90"/>
      <c r="F10" s="91"/>
      <c r="G10" s="91"/>
      <c r="H10" s="90"/>
      <c r="I10" s="91"/>
      <c r="J10" s="91"/>
      <c r="K10" s="90"/>
      <c r="L10" s="91"/>
      <c r="M10" s="91"/>
      <c r="N10" s="90"/>
      <c r="O10" s="91"/>
      <c r="P10" s="91"/>
      <c r="Q10" s="90"/>
      <c r="R10" s="91"/>
      <c r="S10" s="91"/>
    </row>
    <row r="11" spans="1:19" ht="12.75">
      <c r="A11" s="79" t="s">
        <v>48</v>
      </c>
      <c r="B11" s="90">
        <v>491</v>
      </c>
      <c r="C11" s="91">
        <v>3051</v>
      </c>
      <c r="D11" s="91">
        <f>SUM(B11:C11)</f>
        <v>3542</v>
      </c>
      <c r="E11" s="90">
        <v>220</v>
      </c>
      <c r="F11" s="91">
        <v>1444</v>
      </c>
      <c r="G11" s="91">
        <f>SUM(E11:F11)</f>
        <v>1664</v>
      </c>
      <c r="H11" s="90">
        <v>161</v>
      </c>
      <c r="I11" s="91">
        <v>1259</v>
      </c>
      <c r="J11" s="91">
        <f>SUM(H11:I11)</f>
        <v>1420</v>
      </c>
      <c r="K11" s="90">
        <v>171</v>
      </c>
      <c r="L11" s="91">
        <v>1115</v>
      </c>
      <c r="M11" s="91">
        <f>SUM(K11:L11)</f>
        <v>1286</v>
      </c>
      <c r="N11" s="90">
        <f aca="true" t="shared" si="0" ref="N11:O14">SUM(B11,H11)</f>
        <v>652</v>
      </c>
      <c r="O11" s="91">
        <f t="shared" si="0"/>
        <v>4310</v>
      </c>
      <c r="P11" s="91">
        <f>SUM(N11:O11)</f>
        <v>4962</v>
      </c>
      <c r="Q11" s="90">
        <f aca="true" t="shared" si="1" ref="Q11:R14">SUM(E11,K11)</f>
        <v>391</v>
      </c>
      <c r="R11" s="91">
        <f t="shared" si="1"/>
        <v>2559</v>
      </c>
      <c r="S11" s="91">
        <f>SUM(Q11:R11)</f>
        <v>2950</v>
      </c>
    </row>
    <row r="12" spans="1:19" ht="12.75">
      <c r="A12" s="79" t="s">
        <v>8</v>
      </c>
      <c r="B12" s="90">
        <v>3328</v>
      </c>
      <c r="C12" s="91">
        <v>12501</v>
      </c>
      <c r="D12" s="91">
        <f>SUM(B12:C12)</f>
        <v>15829</v>
      </c>
      <c r="E12" s="90">
        <v>458</v>
      </c>
      <c r="F12" s="91">
        <v>3932</v>
      </c>
      <c r="G12" s="91">
        <f>SUM(E12:F12)</f>
        <v>4390</v>
      </c>
      <c r="H12" s="90">
        <v>889</v>
      </c>
      <c r="I12" s="91">
        <v>8018</v>
      </c>
      <c r="J12" s="91">
        <f>SUM(H12:I12)</f>
        <v>8907</v>
      </c>
      <c r="K12" s="90">
        <v>462</v>
      </c>
      <c r="L12" s="91">
        <v>3614</v>
      </c>
      <c r="M12" s="91">
        <f>SUM(K12:L12)</f>
        <v>4076</v>
      </c>
      <c r="N12" s="90">
        <f t="shared" si="0"/>
        <v>4217</v>
      </c>
      <c r="O12" s="91">
        <f t="shared" si="0"/>
        <v>20519</v>
      </c>
      <c r="P12" s="91">
        <f>SUM(N12:O12)</f>
        <v>24736</v>
      </c>
      <c r="Q12" s="90">
        <f t="shared" si="1"/>
        <v>920</v>
      </c>
      <c r="R12" s="91">
        <f t="shared" si="1"/>
        <v>7546</v>
      </c>
      <c r="S12" s="91">
        <f>SUM(Q12:R12)</f>
        <v>8466</v>
      </c>
    </row>
    <row r="13" spans="1:19" ht="12.75">
      <c r="A13" s="79" t="s">
        <v>9</v>
      </c>
      <c r="B13" s="90">
        <v>5</v>
      </c>
      <c r="C13" s="91">
        <v>13</v>
      </c>
      <c r="D13" s="91">
        <f>SUM(B13:C13)</f>
        <v>18</v>
      </c>
      <c r="E13" s="90">
        <v>0</v>
      </c>
      <c r="F13" s="91">
        <v>3</v>
      </c>
      <c r="G13" s="91">
        <f>SUM(E13:F13)</f>
        <v>3</v>
      </c>
      <c r="H13" s="90">
        <v>1</v>
      </c>
      <c r="I13" s="91">
        <v>6</v>
      </c>
      <c r="J13" s="91">
        <f>SUM(H13:I13)</f>
        <v>7</v>
      </c>
      <c r="K13" s="92">
        <v>0</v>
      </c>
      <c r="L13" s="91">
        <v>4</v>
      </c>
      <c r="M13" s="91">
        <f>SUM(K13:L13)</f>
        <v>4</v>
      </c>
      <c r="N13" s="90">
        <f t="shared" si="0"/>
        <v>6</v>
      </c>
      <c r="O13" s="91">
        <f t="shared" si="0"/>
        <v>19</v>
      </c>
      <c r="P13" s="91">
        <f>SUM(N13:O13)</f>
        <v>25</v>
      </c>
      <c r="Q13" s="90">
        <f t="shared" si="1"/>
        <v>0</v>
      </c>
      <c r="R13" s="91">
        <f t="shared" si="1"/>
        <v>7</v>
      </c>
      <c r="S13" s="91">
        <f>SUM(Q13:R13)</f>
        <v>7</v>
      </c>
    </row>
    <row r="14" spans="1:19" ht="12.75">
      <c r="A14" s="79" t="s">
        <v>10</v>
      </c>
      <c r="B14" s="90">
        <v>1191</v>
      </c>
      <c r="C14" s="91">
        <v>4833</v>
      </c>
      <c r="D14" s="91">
        <f>SUM(B14:C14)</f>
        <v>6024</v>
      </c>
      <c r="E14" s="90">
        <v>192</v>
      </c>
      <c r="F14" s="91">
        <v>1585</v>
      </c>
      <c r="G14" s="91">
        <f>SUM(E14:F14)</f>
        <v>1777</v>
      </c>
      <c r="H14" s="90">
        <v>407</v>
      </c>
      <c r="I14" s="91">
        <v>2684</v>
      </c>
      <c r="J14" s="91">
        <f>SUM(H14:I14)</f>
        <v>3091</v>
      </c>
      <c r="K14" s="90">
        <v>229</v>
      </c>
      <c r="L14" s="91">
        <v>1518</v>
      </c>
      <c r="M14" s="91">
        <f>SUM(K14:L14)</f>
        <v>1747</v>
      </c>
      <c r="N14" s="90">
        <f t="shared" si="0"/>
        <v>1598</v>
      </c>
      <c r="O14" s="91">
        <f t="shared" si="0"/>
        <v>7517</v>
      </c>
      <c r="P14" s="91">
        <f>SUM(N14:O14)</f>
        <v>9115</v>
      </c>
      <c r="Q14" s="90">
        <f t="shared" si="1"/>
        <v>421</v>
      </c>
      <c r="R14" s="91">
        <f t="shared" si="1"/>
        <v>3103</v>
      </c>
      <c r="S14" s="91">
        <f>SUM(Q14:R14)</f>
        <v>3524</v>
      </c>
    </row>
    <row r="15" spans="1:19" ht="12.75">
      <c r="A15" s="93" t="s">
        <v>4</v>
      </c>
      <c r="B15" s="94">
        <f>SUM(B11:B14)</f>
        <v>5015</v>
      </c>
      <c r="C15" s="95">
        <f aca="true" t="shared" si="2" ref="C15:S15">SUM(C11:C14)</f>
        <v>20398</v>
      </c>
      <c r="D15" s="95">
        <f t="shared" si="2"/>
        <v>25413</v>
      </c>
      <c r="E15" s="94">
        <f t="shared" si="2"/>
        <v>870</v>
      </c>
      <c r="F15" s="95">
        <f t="shared" si="2"/>
        <v>6964</v>
      </c>
      <c r="G15" s="95">
        <f t="shared" si="2"/>
        <v>7834</v>
      </c>
      <c r="H15" s="94">
        <f t="shared" si="2"/>
        <v>1458</v>
      </c>
      <c r="I15" s="95">
        <f t="shared" si="2"/>
        <v>11967</v>
      </c>
      <c r="J15" s="95">
        <f t="shared" si="2"/>
        <v>13425</v>
      </c>
      <c r="K15" s="94">
        <f t="shared" si="2"/>
        <v>862</v>
      </c>
      <c r="L15" s="95">
        <f t="shared" si="2"/>
        <v>6251</v>
      </c>
      <c r="M15" s="95">
        <f t="shared" si="2"/>
        <v>7113</v>
      </c>
      <c r="N15" s="94">
        <f t="shared" si="2"/>
        <v>6473</v>
      </c>
      <c r="O15" s="95">
        <f t="shared" si="2"/>
        <v>32365</v>
      </c>
      <c r="P15" s="95">
        <f t="shared" si="2"/>
        <v>38838</v>
      </c>
      <c r="Q15" s="94">
        <f t="shared" si="2"/>
        <v>1732</v>
      </c>
      <c r="R15" s="95">
        <f t="shared" si="2"/>
        <v>13215</v>
      </c>
      <c r="S15" s="95">
        <f t="shared" si="2"/>
        <v>14947</v>
      </c>
    </row>
    <row r="16" spans="1:19" ht="12.75">
      <c r="A16" s="80"/>
      <c r="B16" s="90"/>
      <c r="C16" s="91"/>
      <c r="D16" s="91"/>
      <c r="E16" s="90"/>
      <c r="F16" s="91"/>
      <c r="G16" s="91"/>
      <c r="H16" s="90"/>
      <c r="I16" s="91"/>
      <c r="J16" s="91"/>
      <c r="K16" s="90"/>
      <c r="L16" s="91"/>
      <c r="M16" s="91"/>
      <c r="N16" s="90"/>
      <c r="O16" s="91"/>
      <c r="P16" s="91"/>
      <c r="Q16" s="90"/>
      <c r="R16" s="91"/>
      <c r="S16" s="91"/>
    </row>
    <row r="17" spans="1:19" ht="12.75">
      <c r="A17" s="78" t="s">
        <v>11</v>
      </c>
      <c r="B17" s="90"/>
      <c r="C17" s="91"/>
      <c r="D17" s="91"/>
      <c r="E17" s="90"/>
      <c r="F17" s="91"/>
      <c r="G17" s="91"/>
      <c r="H17" s="90"/>
      <c r="I17" s="91"/>
      <c r="J17" s="91"/>
      <c r="K17" s="90"/>
      <c r="L17" s="91"/>
      <c r="M17" s="91"/>
      <c r="N17" s="90"/>
      <c r="O17" s="91"/>
      <c r="P17" s="91"/>
      <c r="Q17" s="90"/>
      <c r="R17" s="91"/>
      <c r="S17" s="91"/>
    </row>
    <row r="18" spans="1:19" ht="12.75">
      <c r="A18" s="79" t="s">
        <v>48</v>
      </c>
      <c r="B18" s="90">
        <v>142</v>
      </c>
      <c r="C18" s="178">
        <v>619</v>
      </c>
      <c r="D18" s="91">
        <f>SUM(B18:C18)</f>
        <v>761</v>
      </c>
      <c r="E18" s="90">
        <v>63</v>
      </c>
      <c r="F18" s="91">
        <v>319</v>
      </c>
      <c r="G18" s="91">
        <f>SUM(E18:F18)</f>
        <v>382</v>
      </c>
      <c r="H18" s="90">
        <v>26</v>
      </c>
      <c r="I18" s="91">
        <v>217</v>
      </c>
      <c r="J18" s="91">
        <f>SUM(H18:I18)</f>
        <v>243</v>
      </c>
      <c r="K18" s="90">
        <v>30</v>
      </c>
      <c r="L18" s="91">
        <v>123</v>
      </c>
      <c r="M18" s="91">
        <f>SUM(K18:L18)</f>
        <v>153</v>
      </c>
      <c r="N18" s="90">
        <f aca="true" t="shared" si="3" ref="N18:O21">SUM(B18,H18)</f>
        <v>168</v>
      </c>
      <c r="O18" s="91">
        <f t="shared" si="3"/>
        <v>836</v>
      </c>
      <c r="P18" s="91">
        <f>SUM(N18:O18)</f>
        <v>1004</v>
      </c>
      <c r="Q18" s="90">
        <f aca="true" t="shared" si="4" ref="Q18:R21">SUM(E18,K18)</f>
        <v>93</v>
      </c>
      <c r="R18" s="91">
        <f t="shared" si="4"/>
        <v>442</v>
      </c>
      <c r="S18" s="91">
        <f>SUM(Q18:R18)</f>
        <v>535</v>
      </c>
    </row>
    <row r="19" spans="1:19" ht="12.75">
      <c r="A19" s="79" t="s">
        <v>8</v>
      </c>
      <c r="B19" s="90">
        <v>499</v>
      </c>
      <c r="C19" s="91">
        <v>1569</v>
      </c>
      <c r="D19" s="91">
        <f>SUM(B19:C19)</f>
        <v>2068</v>
      </c>
      <c r="E19" s="90">
        <v>80</v>
      </c>
      <c r="F19" s="91">
        <v>579</v>
      </c>
      <c r="G19" s="91">
        <f>SUM(E19:F19)</f>
        <v>659</v>
      </c>
      <c r="H19" s="90">
        <v>101</v>
      </c>
      <c r="I19" s="91">
        <v>824</v>
      </c>
      <c r="J19" s="91">
        <f>SUM(H19:I19)</f>
        <v>925</v>
      </c>
      <c r="K19" s="90">
        <v>61</v>
      </c>
      <c r="L19" s="91">
        <v>356</v>
      </c>
      <c r="M19" s="91">
        <f>SUM(K19:L19)</f>
        <v>417</v>
      </c>
      <c r="N19" s="90">
        <f t="shared" si="3"/>
        <v>600</v>
      </c>
      <c r="O19" s="91">
        <f t="shared" si="3"/>
        <v>2393</v>
      </c>
      <c r="P19" s="91">
        <f>SUM(N19:O19)</f>
        <v>2993</v>
      </c>
      <c r="Q19" s="90">
        <f t="shared" si="4"/>
        <v>141</v>
      </c>
      <c r="R19" s="91">
        <f t="shared" si="4"/>
        <v>935</v>
      </c>
      <c r="S19" s="91">
        <f>SUM(Q19:R19)</f>
        <v>1076</v>
      </c>
    </row>
    <row r="20" spans="1:19" ht="12.75">
      <c r="A20" s="79" t="s">
        <v>9</v>
      </c>
      <c r="B20" s="90">
        <v>15</v>
      </c>
      <c r="C20" s="91">
        <v>55</v>
      </c>
      <c r="D20" s="91">
        <f>SUM(B20:C20)</f>
        <v>70</v>
      </c>
      <c r="E20" s="92">
        <v>4</v>
      </c>
      <c r="F20" s="96">
        <v>17</v>
      </c>
      <c r="G20" s="96">
        <f>SUM(E20:F20)</f>
        <v>21</v>
      </c>
      <c r="H20" s="92">
        <v>2</v>
      </c>
      <c r="I20" s="91">
        <v>22</v>
      </c>
      <c r="J20" s="91">
        <f>SUM(H20:I20)</f>
        <v>24</v>
      </c>
      <c r="K20" s="92">
        <v>0</v>
      </c>
      <c r="L20" s="96">
        <v>9</v>
      </c>
      <c r="M20" s="96">
        <f>SUM(K20:L20)</f>
        <v>9</v>
      </c>
      <c r="N20" s="90">
        <f t="shared" si="3"/>
        <v>17</v>
      </c>
      <c r="O20" s="91">
        <f t="shared" si="3"/>
        <v>77</v>
      </c>
      <c r="P20" s="91">
        <f>SUM(N20:O20)</f>
        <v>94</v>
      </c>
      <c r="Q20" s="92">
        <f t="shared" si="4"/>
        <v>4</v>
      </c>
      <c r="R20" s="91">
        <f t="shared" si="4"/>
        <v>26</v>
      </c>
      <c r="S20" s="91">
        <f>SUM(Q20:R20)</f>
        <v>30</v>
      </c>
    </row>
    <row r="21" spans="1:19" ht="12.75">
      <c r="A21" s="79" t="s">
        <v>10</v>
      </c>
      <c r="B21" s="90">
        <v>77</v>
      </c>
      <c r="C21" s="91">
        <v>348</v>
      </c>
      <c r="D21" s="91">
        <f>SUM(B21:C21)</f>
        <v>425</v>
      </c>
      <c r="E21" s="90">
        <v>22</v>
      </c>
      <c r="F21" s="91">
        <v>123</v>
      </c>
      <c r="G21" s="91">
        <f>SUM(E21:F21)</f>
        <v>145</v>
      </c>
      <c r="H21" s="90">
        <v>27</v>
      </c>
      <c r="I21" s="91">
        <v>171</v>
      </c>
      <c r="J21" s="91">
        <f>SUM(H21:I21)</f>
        <v>198</v>
      </c>
      <c r="K21" s="90">
        <v>14</v>
      </c>
      <c r="L21" s="91">
        <v>88</v>
      </c>
      <c r="M21" s="91">
        <f>SUM(K21:L21)</f>
        <v>102</v>
      </c>
      <c r="N21" s="90">
        <f t="shared" si="3"/>
        <v>104</v>
      </c>
      <c r="O21" s="91">
        <f t="shared" si="3"/>
        <v>519</v>
      </c>
      <c r="P21" s="91">
        <f>SUM(N21:O21)</f>
        <v>623</v>
      </c>
      <c r="Q21" s="90">
        <f t="shared" si="4"/>
        <v>36</v>
      </c>
      <c r="R21" s="91">
        <f t="shared" si="4"/>
        <v>211</v>
      </c>
      <c r="S21" s="91">
        <f>SUM(Q21:R21)</f>
        <v>247</v>
      </c>
    </row>
    <row r="22" spans="1:19" ht="12.75">
      <c r="A22" s="93" t="s">
        <v>4</v>
      </c>
      <c r="B22" s="94">
        <f aca="true" t="shared" si="5" ref="B22:S22">SUM(B18:B21)</f>
        <v>733</v>
      </c>
      <c r="C22" s="95">
        <f t="shared" si="5"/>
        <v>2591</v>
      </c>
      <c r="D22" s="95">
        <f t="shared" si="5"/>
        <v>3324</v>
      </c>
      <c r="E22" s="94">
        <f t="shared" si="5"/>
        <v>169</v>
      </c>
      <c r="F22" s="95">
        <f t="shared" si="5"/>
        <v>1038</v>
      </c>
      <c r="G22" s="95">
        <f t="shared" si="5"/>
        <v>1207</v>
      </c>
      <c r="H22" s="94">
        <f t="shared" si="5"/>
        <v>156</v>
      </c>
      <c r="I22" s="95">
        <f t="shared" si="5"/>
        <v>1234</v>
      </c>
      <c r="J22" s="95">
        <f t="shared" si="5"/>
        <v>1390</v>
      </c>
      <c r="K22" s="94">
        <f t="shared" si="5"/>
        <v>105</v>
      </c>
      <c r="L22" s="95">
        <f t="shared" si="5"/>
        <v>576</v>
      </c>
      <c r="M22" s="95">
        <f t="shared" si="5"/>
        <v>681</v>
      </c>
      <c r="N22" s="94">
        <f t="shared" si="5"/>
        <v>889</v>
      </c>
      <c r="O22" s="95">
        <f t="shared" si="5"/>
        <v>3825</v>
      </c>
      <c r="P22" s="95">
        <f t="shared" si="5"/>
        <v>4714</v>
      </c>
      <c r="Q22" s="94">
        <f t="shared" si="5"/>
        <v>274</v>
      </c>
      <c r="R22" s="95">
        <f t="shared" si="5"/>
        <v>1614</v>
      </c>
      <c r="S22" s="95">
        <f t="shared" si="5"/>
        <v>1888</v>
      </c>
    </row>
    <row r="23" spans="1:19" ht="12.75">
      <c r="A23" s="79"/>
      <c r="B23" s="90"/>
      <c r="C23" s="91"/>
      <c r="D23" s="91"/>
      <c r="E23" s="90"/>
      <c r="F23" s="91"/>
      <c r="G23" s="91"/>
      <c r="H23" s="90"/>
      <c r="I23" s="91"/>
      <c r="J23" s="91"/>
      <c r="K23" s="90"/>
      <c r="L23" s="91"/>
      <c r="M23" s="91"/>
      <c r="N23" s="90"/>
      <c r="O23" s="91"/>
      <c r="P23" s="91"/>
      <c r="Q23" s="90"/>
      <c r="R23" s="91"/>
      <c r="S23" s="91"/>
    </row>
    <row r="24" spans="1:19" ht="12.75">
      <c r="A24" s="213" t="s">
        <v>12</v>
      </c>
      <c r="D24" s="214"/>
      <c r="G24" s="214"/>
      <c r="J24" s="214"/>
      <c r="M24" s="91"/>
      <c r="N24" s="90"/>
      <c r="O24" s="91"/>
      <c r="P24" s="91"/>
      <c r="Q24" s="90"/>
      <c r="R24" s="91"/>
      <c r="S24" s="91"/>
    </row>
    <row r="25" spans="1:19" ht="12.75">
      <c r="A25" s="79" t="s">
        <v>48</v>
      </c>
      <c r="B25" s="90">
        <v>2501</v>
      </c>
      <c r="C25" s="91">
        <v>3033</v>
      </c>
      <c r="D25" s="91">
        <f>SUM(B25:C25)</f>
        <v>5534</v>
      </c>
      <c r="E25" s="90">
        <v>1204</v>
      </c>
      <c r="F25" s="91">
        <v>1598</v>
      </c>
      <c r="G25" s="91">
        <f>SUM(E25:F25)</f>
        <v>2802</v>
      </c>
      <c r="H25" s="90">
        <v>660</v>
      </c>
      <c r="I25" s="91">
        <v>1480</v>
      </c>
      <c r="J25" s="91">
        <f>SUM(H25:I25)</f>
        <v>2140</v>
      </c>
      <c r="K25" s="90">
        <v>576</v>
      </c>
      <c r="L25" s="91">
        <v>1100</v>
      </c>
      <c r="M25" s="91">
        <f>SUM(K25:L25)</f>
        <v>1676</v>
      </c>
      <c r="N25" s="90">
        <f>SUM(B25,H25)</f>
        <v>3161</v>
      </c>
      <c r="O25" s="91">
        <f>SUM(C25,I25)</f>
        <v>4513</v>
      </c>
      <c r="P25" s="91">
        <f>SUM(N25:O25)</f>
        <v>7674</v>
      </c>
      <c r="Q25" s="90">
        <f>SUM(E25,K25)</f>
        <v>1780</v>
      </c>
      <c r="R25" s="91">
        <f>SUM(F25,L25)</f>
        <v>2698</v>
      </c>
      <c r="S25" s="91">
        <f>SUM(Q25:R25)</f>
        <v>4478</v>
      </c>
    </row>
    <row r="26" spans="1:19" ht="12.75">
      <c r="A26" s="79" t="s">
        <v>8</v>
      </c>
      <c r="B26" s="90">
        <v>10806</v>
      </c>
      <c r="C26" s="91">
        <v>11170</v>
      </c>
      <c r="D26" s="91">
        <f>SUM(B26:C26)</f>
        <v>21976</v>
      </c>
      <c r="E26" s="90">
        <v>2475</v>
      </c>
      <c r="F26" s="91">
        <v>3831</v>
      </c>
      <c r="G26" s="91">
        <f>SUM(E26:F26)</f>
        <v>6306</v>
      </c>
      <c r="H26" s="90">
        <v>2648</v>
      </c>
      <c r="I26" s="91">
        <v>9995</v>
      </c>
      <c r="J26" s="91">
        <f>SUM(H26:I26)</f>
        <v>12643</v>
      </c>
      <c r="K26" s="90">
        <v>1322</v>
      </c>
      <c r="L26" s="91">
        <v>3127</v>
      </c>
      <c r="M26" s="91">
        <f>SUM(K26:L26)</f>
        <v>4449</v>
      </c>
      <c r="N26" s="90">
        <f aca="true" t="shared" si="6" ref="N26:O28">SUM(B26,H26)</f>
        <v>13454</v>
      </c>
      <c r="O26" s="91">
        <f t="shared" si="6"/>
        <v>21165</v>
      </c>
      <c r="P26" s="91">
        <f>SUM(N26:O26)</f>
        <v>34619</v>
      </c>
      <c r="Q26" s="90">
        <f aca="true" t="shared" si="7" ref="Q26:R28">SUM(E26,K26)</f>
        <v>3797</v>
      </c>
      <c r="R26" s="91">
        <f t="shared" si="7"/>
        <v>6958</v>
      </c>
      <c r="S26" s="91">
        <f>SUM(Q26:R26)</f>
        <v>10755</v>
      </c>
    </row>
    <row r="27" spans="1:19" ht="12.75">
      <c r="A27" s="79" t="s">
        <v>9</v>
      </c>
      <c r="B27" s="90">
        <v>758</v>
      </c>
      <c r="C27" s="91">
        <v>553</v>
      </c>
      <c r="D27" s="91">
        <f>SUM(B27:C27)</f>
        <v>1311</v>
      </c>
      <c r="E27" s="90">
        <v>226</v>
      </c>
      <c r="F27" s="91">
        <v>198</v>
      </c>
      <c r="G27" s="91">
        <f>SUM(E27:F27)</f>
        <v>424</v>
      </c>
      <c r="H27" s="90">
        <v>137</v>
      </c>
      <c r="I27" s="91">
        <v>293</v>
      </c>
      <c r="J27" s="91">
        <f>SUM(H27:I27)</f>
        <v>430</v>
      </c>
      <c r="K27" s="90">
        <v>86</v>
      </c>
      <c r="L27" s="91">
        <v>138</v>
      </c>
      <c r="M27" s="91">
        <f>SUM(K27:L27)</f>
        <v>224</v>
      </c>
      <c r="N27" s="90">
        <f t="shared" si="6"/>
        <v>895</v>
      </c>
      <c r="O27" s="91">
        <f t="shared" si="6"/>
        <v>846</v>
      </c>
      <c r="P27" s="91">
        <f>SUM(N27:O27)</f>
        <v>1741</v>
      </c>
      <c r="Q27" s="90">
        <f t="shared" si="7"/>
        <v>312</v>
      </c>
      <c r="R27" s="91">
        <f t="shared" si="7"/>
        <v>336</v>
      </c>
      <c r="S27" s="91">
        <f>SUM(Q27:R27)</f>
        <v>648</v>
      </c>
    </row>
    <row r="28" spans="1:19" ht="12.75">
      <c r="A28" s="79" t="s">
        <v>10</v>
      </c>
      <c r="B28" s="90">
        <v>1028</v>
      </c>
      <c r="C28" s="91">
        <v>861</v>
      </c>
      <c r="D28" s="91">
        <f>SUM(B28:C28)</f>
        <v>1889</v>
      </c>
      <c r="E28" s="90">
        <v>311</v>
      </c>
      <c r="F28" s="91">
        <v>310</v>
      </c>
      <c r="G28" s="91">
        <f>SUM(E28:F28)</f>
        <v>621</v>
      </c>
      <c r="H28" s="90">
        <v>251</v>
      </c>
      <c r="I28" s="91">
        <v>488</v>
      </c>
      <c r="J28" s="91">
        <f>SUM(H28:I28)</f>
        <v>739</v>
      </c>
      <c r="K28" s="90">
        <v>177</v>
      </c>
      <c r="L28" s="91">
        <v>255</v>
      </c>
      <c r="M28" s="91">
        <f>SUM(K28:L28)</f>
        <v>432</v>
      </c>
      <c r="N28" s="90">
        <f t="shared" si="6"/>
        <v>1279</v>
      </c>
      <c r="O28" s="91">
        <f t="shared" si="6"/>
        <v>1349</v>
      </c>
      <c r="P28" s="91">
        <f>SUM(N28:O28)</f>
        <v>2628</v>
      </c>
      <c r="Q28" s="90">
        <f t="shared" si="7"/>
        <v>488</v>
      </c>
      <c r="R28" s="91">
        <f t="shared" si="7"/>
        <v>565</v>
      </c>
      <c r="S28" s="91">
        <f>SUM(Q28:R28)</f>
        <v>1053</v>
      </c>
    </row>
    <row r="29" spans="1:19" ht="12.75">
      <c r="A29" s="93" t="s">
        <v>4</v>
      </c>
      <c r="B29" s="94">
        <f>SUM(B25:B28)</f>
        <v>15093</v>
      </c>
      <c r="C29" s="95">
        <f>SUM(C25:C28)</f>
        <v>15617</v>
      </c>
      <c r="D29" s="95">
        <f aca="true" t="shared" si="8" ref="D29:S29">SUM(D25:D28)</f>
        <v>30710</v>
      </c>
      <c r="E29" s="94">
        <f>SUM(E25:E28)</f>
        <v>4216</v>
      </c>
      <c r="F29" s="95">
        <f>SUM(F25:F28)</f>
        <v>5937</v>
      </c>
      <c r="G29" s="95">
        <f t="shared" si="8"/>
        <v>10153</v>
      </c>
      <c r="H29" s="94">
        <f>SUM(H25:H28)</f>
        <v>3696</v>
      </c>
      <c r="I29" s="95">
        <f>SUM(I25:I28)</f>
        <v>12256</v>
      </c>
      <c r="J29" s="95">
        <f t="shared" si="8"/>
        <v>15952</v>
      </c>
      <c r="K29" s="94">
        <f>SUM(K25:K28)</f>
        <v>2161</v>
      </c>
      <c r="L29" s="95">
        <f>SUM(L25:L28)</f>
        <v>4620</v>
      </c>
      <c r="M29" s="95">
        <f t="shared" si="8"/>
        <v>6781</v>
      </c>
      <c r="N29" s="94">
        <f t="shared" si="8"/>
        <v>18789</v>
      </c>
      <c r="O29" s="95">
        <f t="shared" si="8"/>
        <v>27873</v>
      </c>
      <c r="P29" s="95">
        <f t="shared" si="8"/>
        <v>46662</v>
      </c>
      <c r="Q29" s="94">
        <f t="shared" si="8"/>
        <v>6377</v>
      </c>
      <c r="R29" s="95">
        <f t="shared" si="8"/>
        <v>10557</v>
      </c>
      <c r="S29" s="95">
        <f t="shared" si="8"/>
        <v>16934</v>
      </c>
    </row>
    <row r="30" spans="1:19" ht="12.75">
      <c r="A30" s="80"/>
      <c r="B30" s="90"/>
      <c r="C30" s="91"/>
      <c r="D30" s="91"/>
      <c r="E30" s="90"/>
      <c r="F30" s="91"/>
      <c r="G30" s="91"/>
      <c r="H30" s="90"/>
      <c r="I30" s="91"/>
      <c r="J30" s="91"/>
      <c r="K30" s="90"/>
      <c r="L30" s="91"/>
      <c r="M30" s="91"/>
      <c r="N30" s="90"/>
      <c r="O30" s="91"/>
      <c r="P30" s="91"/>
      <c r="Q30" s="90"/>
      <c r="R30" s="91"/>
      <c r="S30" s="91"/>
    </row>
    <row r="31" spans="1:19" ht="12.75">
      <c r="A31" s="78" t="s">
        <v>13</v>
      </c>
      <c r="B31" s="90"/>
      <c r="C31" s="91"/>
      <c r="D31" s="91"/>
      <c r="E31" s="90"/>
      <c r="F31" s="91"/>
      <c r="G31" s="91"/>
      <c r="H31" s="90"/>
      <c r="I31" s="91"/>
      <c r="J31" s="91"/>
      <c r="K31" s="90"/>
      <c r="L31" s="91"/>
      <c r="M31" s="91"/>
      <c r="N31" s="90"/>
      <c r="O31" s="91"/>
      <c r="P31" s="91"/>
      <c r="Q31" s="90"/>
      <c r="R31" s="91"/>
      <c r="S31" s="91"/>
    </row>
    <row r="32" spans="1:19" ht="12.75">
      <c r="A32" s="79" t="s">
        <v>48</v>
      </c>
      <c r="B32" s="90">
        <v>286</v>
      </c>
      <c r="C32" s="91">
        <v>419</v>
      </c>
      <c r="D32" s="91">
        <f>SUM(B32:C32)</f>
        <v>705</v>
      </c>
      <c r="E32" s="90">
        <v>143</v>
      </c>
      <c r="F32" s="91">
        <v>226</v>
      </c>
      <c r="G32" s="91">
        <f>SUM(E32:F32)</f>
        <v>369</v>
      </c>
      <c r="H32" s="90">
        <v>44</v>
      </c>
      <c r="I32" s="91">
        <v>95</v>
      </c>
      <c r="J32" s="91">
        <f>SUM(H32:I32)</f>
        <v>139</v>
      </c>
      <c r="K32" s="90">
        <v>47</v>
      </c>
      <c r="L32" s="91">
        <v>89</v>
      </c>
      <c r="M32" s="91">
        <f>SUM(K32:L32)</f>
        <v>136</v>
      </c>
      <c r="N32" s="90">
        <f aca="true" t="shared" si="9" ref="N32:O35">SUM(B32,H32)</f>
        <v>330</v>
      </c>
      <c r="O32" s="91">
        <f t="shared" si="9"/>
        <v>514</v>
      </c>
      <c r="P32" s="91">
        <f>SUM(N32:O32)</f>
        <v>844</v>
      </c>
      <c r="Q32" s="90">
        <f aca="true" t="shared" si="10" ref="Q32:R35">SUM(E32,K32)</f>
        <v>190</v>
      </c>
      <c r="R32" s="91">
        <f t="shared" si="10"/>
        <v>315</v>
      </c>
      <c r="S32" s="91">
        <f>SUM(Q32:R32)</f>
        <v>505</v>
      </c>
    </row>
    <row r="33" spans="1:19" ht="12.75">
      <c r="A33" s="79" t="s">
        <v>8</v>
      </c>
      <c r="B33" s="90">
        <v>950</v>
      </c>
      <c r="C33" s="91">
        <v>1233</v>
      </c>
      <c r="D33" s="91">
        <f>SUM(B33:C33)</f>
        <v>2183</v>
      </c>
      <c r="E33" s="90">
        <v>266</v>
      </c>
      <c r="F33" s="91">
        <v>466</v>
      </c>
      <c r="G33" s="91">
        <f>SUM(E33:F33)</f>
        <v>732</v>
      </c>
      <c r="H33" s="90">
        <v>180</v>
      </c>
      <c r="I33" s="91">
        <v>516</v>
      </c>
      <c r="J33" s="91">
        <f>SUM(H33:I33)</f>
        <v>696</v>
      </c>
      <c r="K33" s="90">
        <v>130</v>
      </c>
      <c r="L33" s="91">
        <v>317</v>
      </c>
      <c r="M33" s="91">
        <f>SUM(K33:L33)</f>
        <v>447</v>
      </c>
      <c r="N33" s="90">
        <f t="shared" si="9"/>
        <v>1130</v>
      </c>
      <c r="O33" s="91">
        <f t="shared" si="9"/>
        <v>1749</v>
      </c>
      <c r="P33" s="91">
        <f>SUM(N33:O33)</f>
        <v>2879</v>
      </c>
      <c r="Q33" s="90">
        <f t="shared" si="10"/>
        <v>396</v>
      </c>
      <c r="R33" s="91">
        <f t="shared" si="10"/>
        <v>783</v>
      </c>
      <c r="S33" s="91">
        <f>SUM(Q33:R33)</f>
        <v>1179</v>
      </c>
    </row>
    <row r="34" spans="1:19" ht="12.75">
      <c r="A34" s="79" t="s">
        <v>9</v>
      </c>
      <c r="B34" s="90">
        <v>40</v>
      </c>
      <c r="C34" s="91">
        <v>23</v>
      </c>
      <c r="D34" s="91">
        <f>SUM(B34:C34)</f>
        <v>63</v>
      </c>
      <c r="E34" s="90">
        <v>8</v>
      </c>
      <c r="F34" s="91">
        <v>12</v>
      </c>
      <c r="G34" s="91">
        <f>SUM(E34:F34)</f>
        <v>20</v>
      </c>
      <c r="H34" s="90">
        <v>7</v>
      </c>
      <c r="I34" s="91">
        <v>8</v>
      </c>
      <c r="J34" s="91">
        <f>SUM(H34:I34)</f>
        <v>15</v>
      </c>
      <c r="K34" s="92">
        <v>4</v>
      </c>
      <c r="L34" s="91">
        <v>8</v>
      </c>
      <c r="M34" s="91">
        <f>SUM(K34:L34)</f>
        <v>12</v>
      </c>
      <c r="N34" s="90">
        <f t="shared" si="9"/>
        <v>47</v>
      </c>
      <c r="O34" s="91">
        <f t="shared" si="9"/>
        <v>31</v>
      </c>
      <c r="P34" s="91">
        <f>SUM(N34:O34)</f>
        <v>78</v>
      </c>
      <c r="Q34" s="90">
        <f t="shared" si="10"/>
        <v>12</v>
      </c>
      <c r="R34" s="91">
        <f t="shared" si="10"/>
        <v>20</v>
      </c>
      <c r="S34" s="91">
        <f>SUM(Q34:R34)</f>
        <v>32</v>
      </c>
    </row>
    <row r="35" spans="1:19" ht="12.75">
      <c r="A35" s="79" t="s">
        <v>10</v>
      </c>
      <c r="B35" s="90">
        <v>205</v>
      </c>
      <c r="C35" s="91">
        <v>212</v>
      </c>
      <c r="D35" s="91">
        <f>SUM(B35:C35)</f>
        <v>417</v>
      </c>
      <c r="E35" s="90">
        <v>59</v>
      </c>
      <c r="F35" s="91">
        <v>71</v>
      </c>
      <c r="G35" s="91">
        <f>SUM(E35:F35)</f>
        <v>130</v>
      </c>
      <c r="H35" s="90">
        <v>42</v>
      </c>
      <c r="I35" s="91">
        <v>49</v>
      </c>
      <c r="J35" s="91">
        <f>SUM(H35:I35)</f>
        <v>91</v>
      </c>
      <c r="K35" s="90">
        <v>27</v>
      </c>
      <c r="L35" s="91">
        <v>60</v>
      </c>
      <c r="M35" s="91">
        <f>SUM(K35:L35)</f>
        <v>87</v>
      </c>
      <c r="N35" s="90">
        <f t="shared" si="9"/>
        <v>247</v>
      </c>
      <c r="O35" s="91">
        <f t="shared" si="9"/>
        <v>261</v>
      </c>
      <c r="P35" s="91">
        <f>SUM(N35:O35)</f>
        <v>508</v>
      </c>
      <c r="Q35" s="90">
        <f t="shared" si="10"/>
        <v>86</v>
      </c>
      <c r="R35" s="91">
        <f t="shared" si="10"/>
        <v>131</v>
      </c>
      <c r="S35" s="91">
        <f>SUM(Q35:R35)</f>
        <v>217</v>
      </c>
    </row>
    <row r="36" spans="1:19" ht="12.75">
      <c r="A36" s="93" t="s">
        <v>4</v>
      </c>
      <c r="B36" s="94">
        <f aca="true" t="shared" si="11" ref="B36:S36">SUM(B32:B35)</f>
        <v>1481</v>
      </c>
      <c r="C36" s="95">
        <f t="shared" si="11"/>
        <v>1887</v>
      </c>
      <c r="D36" s="95">
        <f t="shared" si="11"/>
        <v>3368</v>
      </c>
      <c r="E36" s="94">
        <f t="shared" si="11"/>
        <v>476</v>
      </c>
      <c r="F36" s="95">
        <f t="shared" si="11"/>
        <v>775</v>
      </c>
      <c r="G36" s="95">
        <f t="shared" si="11"/>
        <v>1251</v>
      </c>
      <c r="H36" s="94">
        <f t="shared" si="11"/>
        <v>273</v>
      </c>
      <c r="I36" s="95">
        <f t="shared" si="11"/>
        <v>668</v>
      </c>
      <c r="J36" s="95">
        <f t="shared" si="11"/>
        <v>941</v>
      </c>
      <c r="K36" s="94">
        <f t="shared" si="11"/>
        <v>208</v>
      </c>
      <c r="L36" s="95">
        <f t="shared" si="11"/>
        <v>474</v>
      </c>
      <c r="M36" s="95">
        <f t="shared" si="11"/>
        <v>682</v>
      </c>
      <c r="N36" s="94">
        <f t="shared" si="11"/>
        <v>1754</v>
      </c>
      <c r="O36" s="95">
        <f t="shared" si="11"/>
        <v>2555</v>
      </c>
      <c r="P36" s="95">
        <f t="shared" si="11"/>
        <v>4309</v>
      </c>
      <c r="Q36" s="94">
        <f t="shared" si="11"/>
        <v>684</v>
      </c>
      <c r="R36" s="95">
        <f t="shared" si="11"/>
        <v>1249</v>
      </c>
      <c r="S36" s="95">
        <f t="shared" si="11"/>
        <v>1933</v>
      </c>
    </row>
    <row r="37" spans="1:19" ht="12.75">
      <c r="A37" s="79"/>
      <c r="B37" s="90"/>
      <c r="C37" s="91"/>
      <c r="D37" s="174"/>
      <c r="E37" s="90"/>
      <c r="F37" s="91"/>
      <c r="G37" s="91"/>
      <c r="H37" s="90"/>
      <c r="I37" s="91"/>
      <c r="J37" s="91"/>
      <c r="K37" s="90"/>
      <c r="L37" s="91"/>
      <c r="M37" s="91"/>
      <c r="N37" s="90"/>
      <c r="O37" s="91"/>
      <c r="P37" s="91"/>
      <c r="Q37" s="90"/>
      <c r="R37" s="91"/>
      <c r="S37" s="91"/>
    </row>
    <row r="38" spans="1:19" ht="12.75">
      <c r="A38" s="78" t="s">
        <v>14</v>
      </c>
      <c r="B38" s="90"/>
      <c r="C38" s="91"/>
      <c r="D38" s="174"/>
      <c r="E38" s="90"/>
      <c r="F38" s="91"/>
      <c r="G38" s="91"/>
      <c r="H38" s="90"/>
      <c r="I38" s="91"/>
      <c r="J38" s="91"/>
      <c r="K38" s="90"/>
      <c r="L38" s="91"/>
      <c r="M38" s="91"/>
      <c r="N38" s="90"/>
      <c r="O38" s="91"/>
      <c r="P38" s="91"/>
      <c r="Q38" s="90"/>
      <c r="R38" s="91"/>
      <c r="S38" s="91"/>
    </row>
    <row r="39" spans="1:19" ht="12.75">
      <c r="A39" s="93" t="s">
        <v>4</v>
      </c>
      <c r="B39" s="97">
        <v>2066</v>
      </c>
      <c r="C39" s="98">
        <v>1512</v>
      </c>
      <c r="D39" s="98">
        <f>SUM(B39,C39)</f>
        <v>3578</v>
      </c>
      <c r="E39" s="97">
        <v>1007</v>
      </c>
      <c r="F39" s="98">
        <v>1073</v>
      </c>
      <c r="G39" s="98">
        <f>SUM(E39:F39)</f>
        <v>2080</v>
      </c>
      <c r="H39" s="97">
        <v>656</v>
      </c>
      <c r="I39" s="98">
        <v>1167</v>
      </c>
      <c r="J39" s="98">
        <f>SUM(H39:I39)</f>
        <v>1823</v>
      </c>
      <c r="K39" s="97">
        <v>1407</v>
      </c>
      <c r="L39" s="98">
        <v>1255</v>
      </c>
      <c r="M39" s="98">
        <f>SUM(K39:L39)</f>
        <v>2662</v>
      </c>
      <c r="N39" s="97">
        <f>SUM(B39,H39)</f>
        <v>2722</v>
      </c>
      <c r="O39" s="98">
        <f>SUM(C39,I39)</f>
        <v>2679</v>
      </c>
      <c r="P39" s="98">
        <f>SUM(N39:O39)</f>
        <v>5401</v>
      </c>
      <c r="Q39" s="97">
        <f>SUM(E39,K39)</f>
        <v>2414</v>
      </c>
      <c r="R39" s="98">
        <f>SUM(F39,L39)</f>
        <v>2328</v>
      </c>
      <c r="S39" s="98">
        <f>SUM(Q39:R39)</f>
        <v>4742</v>
      </c>
    </row>
    <row r="40" spans="1:19" ht="12.75">
      <c r="A40" s="79"/>
      <c r="B40" s="90"/>
      <c r="C40" s="91"/>
      <c r="D40" s="91"/>
      <c r="E40" s="90"/>
      <c r="F40" s="91"/>
      <c r="G40" s="91"/>
      <c r="H40" s="90"/>
      <c r="I40" s="91"/>
      <c r="J40" s="91"/>
      <c r="K40" s="90"/>
      <c r="L40" s="91"/>
      <c r="M40" s="91"/>
      <c r="N40" s="90"/>
      <c r="O40" s="91"/>
      <c r="P40" s="91"/>
      <c r="Q40" s="90"/>
      <c r="R40" s="91"/>
      <c r="S40" s="91"/>
    </row>
    <row r="41" spans="1:19" ht="12.75">
      <c r="A41" s="78" t="s">
        <v>74</v>
      </c>
      <c r="B41" s="90"/>
      <c r="C41" s="91"/>
      <c r="D41" s="174"/>
      <c r="E41" s="90"/>
      <c r="F41" s="91"/>
      <c r="G41" s="91"/>
      <c r="H41" s="90"/>
      <c r="I41" s="91"/>
      <c r="J41" s="91"/>
      <c r="K41" s="90"/>
      <c r="L41" s="91"/>
      <c r="M41" s="91"/>
      <c r="N41" s="90"/>
      <c r="O41" s="91"/>
      <c r="P41" s="91"/>
      <c r="Q41" s="90"/>
      <c r="R41" s="91"/>
      <c r="S41" s="91"/>
    </row>
    <row r="42" spans="1:19" ht="12.75">
      <c r="A42" s="93" t="s">
        <v>4</v>
      </c>
      <c r="B42" s="97">
        <v>0</v>
      </c>
      <c r="C42" s="98">
        <v>0</v>
      </c>
      <c r="D42" s="98">
        <f>SUM(B42,C42)</f>
        <v>0</v>
      </c>
      <c r="E42" s="97">
        <v>70</v>
      </c>
      <c r="F42" s="98">
        <f>197+1</f>
        <v>198</v>
      </c>
      <c r="G42" s="98">
        <f>SUM(E42:F42)</f>
        <v>268</v>
      </c>
      <c r="H42" s="97">
        <v>0</v>
      </c>
      <c r="I42" s="98">
        <v>0</v>
      </c>
      <c r="J42" s="98">
        <f>SUM(H42:I42)</f>
        <v>0</v>
      </c>
      <c r="K42" s="97">
        <v>47</v>
      </c>
      <c r="L42" s="98">
        <f>421</f>
        <v>421</v>
      </c>
      <c r="M42" s="98">
        <f>SUM(K42:L42)</f>
        <v>468</v>
      </c>
      <c r="N42" s="97">
        <f>SUM(B42,H42)</f>
        <v>0</v>
      </c>
      <c r="O42" s="98">
        <f>SUM(C42,I42)</f>
        <v>0</v>
      </c>
      <c r="P42" s="98">
        <f>SUM(N42:O42)</f>
        <v>0</v>
      </c>
      <c r="Q42" s="97">
        <f>SUM(E42,K42)</f>
        <v>117</v>
      </c>
      <c r="R42" s="98">
        <f>SUM(F42,L42)</f>
        <v>619</v>
      </c>
      <c r="S42" s="98">
        <f>SUM(Q42:R42)</f>
        <v>736</v>
      </c>
    </row>
    <row r="43" spans="1:19" ht="12.75">
      <c r="A43" s="79"/>
      <c r="B43" s="90"/>
      <c r="C43" s="91"/>
      <c r="D43" s="91"/>
      <c r="E43" s="90"/>
      <c r="F43" s="91"/>
      <c r="G43" s="91"/>
      <c r="H43" s="90"/>
      <c r="I43" s="91"/>
      <c r="J43" s="91"/>
      <c r="K43" s="90"/>
      <c r="L43" s="91"/>
      <c r="M43" s="91"/>
      <c r="N43" s="90"/>
      <c r="O43" s="91"/>
      <c r="P43" s="91"/>
      <c r="Q43" s="90"/>
      <c r="R43" s="91"/>
      <c r="S43" s="91"/>
    </row>
    <row r="44" spans="1:19" ht="12.75">
      <c r="A44" s="1" t="s">
        <v>62</v>
      </c>
      <c r="B44" s="90"/>
      <c r="C44" s="91"/>
      <c r="D44" s="91"/>
      <c r="E44" s="90"/>
      <c r="F44" s="91"/>
      <c r="G44" s="91"/>
      <c r="H44" s="90"/>
      <c r="I44" s="91"/>
      <c r="J44" s="91"/>
      <c r="K44" s="90"/>
      <c r="L44" s="91"/>
      <c r="M44" s="91"/>
      <c r="N44" s="90"/>
      <c r="O44" s="91"/>
      <c r="P44" s="91"/>
      <c r="Q44" s="90"/>
      <c r="R44" s="91"/>
      <c r="S44" s="91"/>
    </row>
    <row r="45" spans="1:19" ht="12.75">
      <c r="A45" s="79" t="s">
        <v>48</v>
      </c>
      <c r="B45" s="90">
        <v>224</v>
      </c>
      <c r="C45" s="96">
        <v>315</v>
      </c>
      <c r="D45" s="91">
        <f>SUM(B45:C45)</f>
        <v>539</v>
      </c>
      <c r="E45" s="90">
        <v>81</v>
      </c>
      <c r="F45" s="91">
        <v>109</v>
      </c>
      <c r="G45" s="91">
        <f>SUM(E45:F45)</f>
        <v>190</v>
      </c>
      <c r="H45" s="90">
        <v>115</v>
      </c>
      <c r="I45" s="91">
        <v>313</v>
      </c>
      <c r="J45" s="91">
        <f>SUM(H45:I45)</f>
        <v>428</v>
      </c>
      <c r="K45" s="90">
        <v>292</v>
      </c>
      <c r="L45" s="91">
        <v>382</v>
      </c>
      <c r="M45" s="91">
        <f>SUM(K45:L45)</f>
        <v>674</v>
      </c>
      <c r="N45" s="90">
        <f aca="true" t="shared" si="12" ref="N45:O48">SUM(B45,H45)</f>
        <v>339</v>
      </c>
      <c r="O45" s="91">
        <f t="shared" si="12"/>
        <v>628</v>
      </c>
      <c r="P45" s="91">
        <f>SUM(N45:O45)</f>
        <v>967</v>
      </c>
      <c r="Q45" s="90">
        <f aca="true" t="shared" si="13" ref="Q45:R48">SUM(E45,K45)</f>
        <v>373</v>
      </c>
      <c r="R45" s="91">
        <f t="shared" si="13"/>
        <v>491</v>
      </c>
      <c r="S45" s="91">
        <f>SUM(Q45:R45)</f>
        <v>864</v>
      </c>
    </row>
    <row r="46" spans="1:19" ht="12.75">
      <c r="A46" s="79" t="s">
        <v>8</v>
      </c>
      <c r="B46" s="90">
        <v>223</v>
      </c>
      <c r="C46" s="91">
        <v>342</v>
      </c>
      <c r="D46" s="91">
        <f>SUM(B46:C46)</f>
        <v>565</v>
      </c>
      <c r="E46" s="90">
        <v>62</v>
      </c>
      <c r="F46" s="91">
        <v>99</v>
      </c>
      <c r="G46" s="91">
        <f>SUM(E46:F46)</f>
        <v>161</v>
      </c>
      <c r="H46" s="90">
        <v>131</v>
      </c>
      <c r="I46" s="91">
        <v>570</v>
      </c>
      <c r="J46" s="91">
        <f>SUM(H46:I46)</f>
        <v>701</v>
      </c>
      <c r="K46" s="90">
        <v>387</v>
      </c>
      <c r="L46" s="91">
        <v>522</v>
      </c>
      <c r="M46" s="91">
        <f>SUM(K46:L46)</f>
        <v>909</v>
      </c>
      <c r="N46" s="90">
        <f t="shared" si="12"/>
        <v>354</v>
      </c>
      <c r="O46" s="91">
        <f t="shared" si="12"/>
        <v>912</v>
      </c>
      <c r="P46" s="91">
        <f>SUM(N46:O46)</f>
        <v>1266</v>
      </c>
      <c r="Q46" s="90">
        <f t="shared" si="13"/>
        <v>449</v>
      </c>
      <c r="R46" s="91">
        <f t="shared" si="13"/>
        <v>621</v>
      </c>
      <c r="S46" s="91">
        <f>SUM(Q46:R46)</f>
        <v>1070</v>
      </c>
    </row>
    <row r="47" spans="1:19" ht="12.75">
      <c r="A47" s="79" t="s">
        <v>9</v>
      </c>
      <c r="B47" s="90">
        <v>109</v>
      </c>
      <c r="C47" s="91">
        <v>123</v>
      </c>
      <c r="D47" s="91">
        <f>SUM(B47:C47)</f>
        <v>232</v>
      </c>
      <c r="E47" s="92">
        <v>23</v>
      </c>
      <c r="F47" s="91">
        <v>18</v>
      </c>
      <c r="G47" s="91">
        <f>SUM(E47:F47)</f>
        <v>41</v>
      </c>
      <c r="H47" s="90">
        <v>51</v>
      </c>
      <c r="I47" s="91">
        <v>132</v>
      </c>
      <c r="J47" s="91">
        <f>SUM(H47:I47)</f>
        <v>183</v>
      </c>
      <c r="K47" s="90">
        <v>91</v>
      </c>
      <c r="L47" s="91">
        <v>98</v>
      </c>
      <c r="M47" s="91">
        <f>SUM(K47:L47)</f>
        <v>189</v>
      </c>
      <c r="N47" s="90">
        <f t="shared" si="12"/>
        <v>160</v>
      </c>
      <c r="O47" s="91">
        <f t="shared" si="12"/>
        <v>255</v>
      </c>
      <c r="P47" s="91">
        <f>SUM(N47:O47)</f>
        <v>415</v>
      </c>
      <c r="Q47" s="90">
        <f t="shared" si="13"/>
        <v>114</v>
      </c>
      <c r="R47" s="91">
        <f t="shared" si="13"/>
        <v>116</v>
      </c>
      <c r="S47" s="91">
        <f>SUM(Q47:R47)</f>
        <v>230</v>
      </c>
    </row>
    <row r="48" spans="1:19" ht="12.75">
      <c r="A48" s="79" t="s">
        <v>10</v>
      </c>
      <c r="B48" s="90">
        <v>106</v>
      </c>
      <c r="C48" s="91">
        <v>180</v>
      </c>
      <c r="D48" s="91">
        <f>SUM(B48:C48)</f>
        <v>286</v>
      </c>
      <c r="E48" s="90">
        <v>23</v>
      </c>
      <c r="F48" s="91">
        <v>28</v>
      </c>
      <c r="G48" s="91">
        <f>SUM(E48:F48)</f>
        <v>51</v>
      </c>
      <c r="H48" s="90">
        <v>41</v>
      </c>
      <c r="I48" s="91">
        <v>143</v>
      </c>
      <c r="J48" s="91">
        <f>SUM(H48:I48)</f>
        <v>184</v>
      </c>
      <c r="K48" s="90">
        <v>58</v>
      </c>
      <c r="L48" s="91">
        <v>118</v>
      </c>
      <c r="M48" s="91">
        <f>SUM(K48:L48)</f>
        <v>176</v>
      </c>
      <c r="N48" s="90">
        <f t="shared" si="12"/>
        <v>147</v>
      </c>
      <c r="O48" s="91">
        <f t="shared" si="12"/>
        <v>323</v>
      </c>
      <c r="P48" s="91">
        <f>SUM(N48:O48)</f>
        <v>470</v>
      </c>
      <c r="Q48" s="90">
        <f t="shared" si="13"/>
        <v>81</v>
      </c>
      <c r="R48" s="91">
        <f t="shared" si="13"/>
        <v>146</v>
      </c>
      <c r="S48" s="91">
        <f>SUM(Q48:R48)</f>
        <v>227</v>
      </c>
    </row>
    <row r="49" spans="1:19" ht="12.75">
      <c r="A49" s="93" t="s">
        <v>4</v>
      </c>
      <c r="B49" s="94">
        <f aca="true" t="shared" si="14" ref="B49:S49">SUM(B45:B48)</f>
        <v>662</v>
      </c>
      <c r="C49" s="95">
        <f t="shared" si="14"/>
        <v>960</v>
      </c>
      <c r="D49" s="95">
        <f t="shared" si="14"/>
        <v>1622</v>
      </c>
      <c r="E49" s="94">
        <f t="shared" si="14"/>
        <v>189</v>
      </c>
      <c r="F49" s="95">
        <f t="shared" si="14"/>
        <v>254</v>
      </c>
      <c r="G49" s="95">
        <f t="shared" si="14"/>
        <v>443</v>
      </c>
      <c r="H49" s="94">
        <f t="shared" si="14"/>
        <v>338</v>
      </c>
      <c r="I49" s="95">
        <f t="shared" si="14"/>
        <v>1158</v>
      </c>
      <c r="J49" s="95">
        <f t="shared" si="14"/>
        <v>1496</v>
      </c>
      <c r="K49" s="94">
        <f t="shared" si="14"/>
        <v>828</v>
      </c>
      <c r="L49" s="95">
        <f t="shared" si="14"/>
        <v>1120</v>
      </c>
      <c r="M49" s="95">
        <f t="shared" si="14"/>
        <v>1948</v>
      </c>
      <c r="N49" s="94">
        <f t="shared" si="14"/>
        <v>1000</v>
      </c>
      <c r="O49" s="95">
        <f t="shared" si="14"/>
        <v>2118</v>
      </c>
      <c r="P49" s="95">
        <f t="shared" si="14"/>
        <v>3118</v>
      </c>
      <c r="Q49" s="94">
        <f t="shared" si="14"/>
        <v>1017</v>
      </c>
      <c r="R49" s="95">
        <f t="shared" si="14"/>
        <v>1374</v>
      </c>
      <c r="S49" s="95">
        <f t="shared" si="14"/>
        <v>2391</v>
      </c>
    </row>
    <row r="50" spans="1:19" ht="12.75">
      <c r="A50" s="79"/>
      <c r="B50" s="90"/>
      <c r="C50" s="91"/>
      <c r="D50" s="91"/>
      <c r="E50" s="90"/>
      <c r="F50" s="91"/>
      <c r="G50" s="91"/>
      <c r="H50" s="90"/>
      <c r="I50" s="91"/>
      <c r="J50" s="91"/>
      <c r="K50" s="90"/>
      <c r="L50" s="91"/>
      <c r="M50" s="91"/>
      <c r="N50" s="90"/>
      <c r="O50" s="91"/>
      <c r="P50" s="91"/>
      <c r="Q50" s="90"/>
      <c r="R50" s="91"/>
      <c r="S50" s="91"/>
    </row>
    <row r="51" spans="1:19" ht="12.75">
      <c r="A51" s="1" t="s">
        <v>63</v>
      </c>
      <c r="B51" s="90"/>
      <c r="C51" s="91"/>
      <c r="D51" s="91"/>
      <c r="E51" s="90"/>
      <c r="F51" s="91"/>
      <c r="G51" s="91"/>
      <c r="H51" s="90"/>
      <c r="I51" s="91"/>
      <c r="J51" s="91"/>
      <c r="K51" s="90"/>
      <c r="L51" s="91"/>
      <c r="M51" s="91"/>
      <c r="N51" s="90"/>
      <c r="O51" s="91"/>
      <c r="P51" s="91"/>
      <c r="Q51" s="90"/>
      <c r="R51" s="91"/>
      <c r="S51" s="91"/>
    </row>
    <row r="52" spans="1:19" ht="12.75">
      <c r="A52" s="79" t="s">
        <v>48</v>
      </c>
      <c r="B52" s="92">
        <v>53</v>
      </c>
      <c r="C52" s="96">
        <v>24</v>
      </c>
      <c r="D52" s="96">
        <f>SUM(B52:C52)</f>
        <v>77</v>
      </c>
      <c r="E52" s="90">
        <v>17</v>
      </c>
      <c r="F52" s="96">
        <v>20</v>
      </c>
      <c r="G52" s="91">
        <f>SUM(E52:F52)</f>
        <v>37</v>
      </c>
      <c r="H52" s="90">
        <v>16</v>
      </c>
      <c r="I52" s="91">
        <v>22</v>
      </c>
      <c r="J52" s="91">
        <f>SUM(H52:I52)</f>
        <v>38</v>
      </c>
      <c r="K52" s="90">
        <v>98</v>
      </c>
      <c r="L52" s="91">
        <v>58</v>
      </c>
      <c r="M52" s="91">
        <f>SUM(K52:L52)</f>
        <v>156</v>
      </c>
      <c r="N52" s="90">
        <f aca="true" t="shared" si="15" ref="N52:O55">SUM(B52,H52)</f>
        <v>69</v>
      </c>
      <c r="O52" s="91">
        <f t="shared" si="15"/>
        <v>46</v>
      </c>
      <c r="P52" s="91">
        <f>SUM(N52:O52)</f>
        <v>115</v>
      </c>
      <c r="Q52" s="90">
        <f aca="true" t="shared" si="16" ref="Q52:R55">SUM(E52,K52)</f>
        <v>115</v>
      </c>
      <c r="R52" s="91">
        <f t="shared" si="16"/>
        <v>78</v>
      </c>
      <c r="S52" s="91">
        <f>SUM(Q52:R52)</f>
        <v>193</v>
      </c>
    </row>
    <row r="53" spans="1:19" ht="12.75">
      <c r="A53" s="79" t="s">
        <v>8</v>
      </c>
      <c r="B53" s="90">
        <v>70</v>
      </c>
      <c r="C53" s="91">
        <v>59</v>
      </c>
      <c r="D53" s="91">
        <f>SUM(B53:C53)</f>
        <v>129</v>
      </c>
      <c r="E53" s="90">
        <v>10</v>
      </c>
      <c r="F53" s="91">
        <v>23</v>
      </c>
      <c r="G53" s="91">
        <f>SUM(E53:F53)</f>
        <v>33</v>
      </c>
      <c r="H53" s="90">
        <v>48</v>
      </c>
      <c r="I53" s="91">
        <v>86</v>
      </c>
      <c r="J53" s="91">
        <f>SUM(H53:I53)</f>
        <v>134</v>
      </c>
      <c r="K53" s="90">
        <v>270</v>
      </c>
      <c r="L53" s="91">
        <v>128</v>
      </c>
      <c r="M53" s="91">
        <f>SUM(K53:L53)</f>
        <v>398</v>
      </c>
      <c r="N53" s="90">
        <f t="shared" si="15"/>
        <v>118</v>
      </c>
      <c r="O53" s="91">
        <f t="shared" si="15"/>
        <v>145</v>
      </c>
      <c r="P53" s="91">
        <f>SUM(N53:O53)</f>
        <v>263</v>
      </c>
      <c r="Q53" s="90">
        <f t="shared" si="16"/>
        <v>280</v>
      </c>
      <c r="R53" s="91">
        <f t="shared" si="16"/>
        <v>151</v>
      </c>
      <c r="S53" s="91">
        <f>SUM(Q53:R53)</f>
        <v>431</v>
      </c>
    </row>
    <row r="54" spans="1:19" ht="12.75">
      <c r="A54" s="79" t="s">
        <v>9</v>
      </c>
      <c r="B54" s="90">
        <v>10</v>
      </c>
      <c r="C54" s="96">
        <v>14</v>
      </c>
      <c r="D54" s="91">
        <f>SUM(B54:C54)</f>
        <v>24</v>
      </c>
      <c r="E54" s="90">
        <v>6</v>
      </c>
      <c r="F54" s="96">
        <v>4</v>
      </c>
      <c r="G54" s="91">
        <f>SUM(E54:F54)</f>
        <v>10</v>
      </c>
      <c r="H54" s="90">
        <v>13</v>
      </c>
      <c r="I54" s="91">
        <v>13</v>
      </c>
      <c r="J54" s="91">
        <f>SUM(H54:I54)</f>
        <v>26</v>
      </c>
      <c r="K54" s="90">
        <v>41</v>
      </c>
      <c r="L54" s="91">
        <v>23</v>
      </c>
      <c r="M54" s="91">
        <f>SUM(K54:L54)</f>
        <v>64</v>
      </c>
      <c r="N54" s="90">
        <f t="shared" si="15"/>
        <v>23</v>
      </c>
      <c r="O54" s="91">
        <f t="shared" si="15"/>
        <v>27</v>
      </c>
      <c r="P54" s="91">
        <f>SUM(N54:O54)</f>
        <v>50</v>
      </c>
      <c r="Q54" s="90">
        <f t="shared" si="16"/>
        <v>47</v>
      </c>
      <c r="R54" s="91">
        <f t="shared" si="16"/>
        <v>27</v>
      </c>
      <c r="S54" s="91">
        <f>SUM(Q54:R54)</f>
        <v>74</v>
      </c>
    </row>
    <row r="55" spans="1:19" ht="12.75">
      <c r="A55" s="79" t="s">
        <v>10</v>
      </c>
      <c r="B55" s="90">
        <v>10</v>
      </c>
      <c r="C55" s="91">
        <v>14</v>
      </c>
      <c r="D55" s="91">
        <f>SUM(B55:C55)</f>
        <v>24</v>
      </c>
      <c r="E55" s="90">
        <v>2</v>
      </c>
      <c r="F55" s="96">
        <v>6</v>
      </c>
      <c r="G55" s="91">
        <f>SUM(E55:F55)</f>
        <v>8</v>
      </c>
      <c r="H55" s="90">
        <v>4</v>
      </c>
      <c r="I55" s="91">
        <v>13</v>
      </c>
      <c r="J55" s="91">
        <f>SUM(H55:I55)</f>
        <v>17</v>
      </c>
      <c r="K55" s="90">
        <v>34</v>
      </c>
      <c r="L55" s="91">
        <v>16</v>
      </c>
      <c r="M55" s="91">
        <f>SUM(K55:L55)</f>
        <v>50</v>
      </c>
      <c r="N55" s="90">
        <f t="shared" si="15"/>
        <v>14</v>
      </c>
      <c r="O55" s="91">
        <f t="shared" si="15"/>
        <v>27</v>
      </c>
      <c r="P55" s="91">
        <f>SUM(N55:O55)</f>
        <v>41</v>
      </c>
      <c r="Q55" s="90">
        <f t="shared" si="16"/>
        <v>36</v>
      </c>
      <c r="R55" s="91">
        <f t="shared" si="16"/>
        <v>22</v>
      </c>
      <c r="S55" s="91">
        <f>SUM(Q55:R55)</f>
        <v>58</v>
      </c>
    </row>
    <row r="56" spans="1:19" ht="12.75">
      <c r="A56" s="93" t="s">
        <v>4</v>
      </c>
      <c r="B56" s="94">
        <f aca="true" t="shared" si="17" ref="B56:S56">SUM(B52:B55)</f>
        <v>143</v>
      </c>
      <c r="C56" s="95">
        <f t="shared" si="17"/>
        <v>111</v>
      </c>
      <c r="D56" s="95">
        <f t="shared" si="17"/>
        <v>254</v>
      </c>
      <c r="E56" s="94">
        <f t="shared" si="17"/>
        <v>35</v>
      </c>
      <c r="F56" s="95">
        <f t="shared" si="17"/>
        <v>53</v>
      </c>
      <c r="G56" s="95">
        <f t="shared" si="17"/>
        <v>88</v>
      </c>
      <c r="H56" s="94">
        <f t="shared" si="17"/>
        <v>81</v>
      </c>
      <c r="I56" s="95">
        <f t="shared" si="17"/>
        <v>134</v>
      </c>
      <c r="J56" s="95">
        <f t="shared" si="17"/>
        <v>215</v>
      </c>
      <c r="K56" s="94">
        <f t="shared" si="17"/>
        <v>443</v>
      </c>
      <c r="L56" s="95">
        <f t="shared" si="17"/>
        <v>225</v>
      </c>
      <c r="M56" s="95">
        <f t="shared" si="17"/>
        <v>668</v>
      </c>
      <c r="N56" s="94">
        <f t="shared" si="17"/>
        <v>224</v>
      </c>
      <c r="O56" s="95">
        <f t="shared" si="17"/>
        <v>245</v>
      </c>
      <c r="P56" s="95">
        <f t="shared" si="17"/>
        <v>469</v>
      </c>
      <c r="Q56" s="94">
        <f t="shared" si="17"/>
        <v>478</v>
      </c>
      <c r="R56" s="95">
        <f t="shared" si="17"/>
        <v>278</v>
      </c>
      <c r="S56" s="95">
        <f t="shared" si="17"/>
        <v>756</v>
      </c>
    </row>
    <row r="57" spans="1:19" ht="12.75">
      <c r="A57" s="93"/>
      <c r="B57" s="97"/>
      <c r="C57" s="98"/>
      <c r="D57" s="98"/>
      <c r="E57" s="97"/>
      <c r="F57" s="98"/>
      <c r="G57" s="98"/>
      <c r="H57" s="97"/>
      <c r="I57" s="98"/>
      <c r="J57" s="98"/>
      <c r="K57" s="97"/>
      <c r="L57" s="98"/>
      <c r="M57" s="98"/>
      <c r="N57" s="97"/>
      <c r="O57" s="98"/>
      <c r="P57" s="98"/>
      <c r="Q57" s="97"/>
      <c r="R57" s="98"/>
      <c r="S57" s="98"/>
    </row>
    <row r="58" spans="1:19" ht="12.75">
      <c r="A58" s="78" t="s">
        <v>15</v>
      </c>
      <c r="B58" s="90"/>
      <c r="C58" s="91"/>
      <c r="D58" s="91"/>
      <c r="E58" s="90"/>
      <c r="F58" s="91"/>
      <c r="G58" s="91"/>
      <c r="H58" s="90"/>
      <c r="I58" s="91"/>
      <c r="J58" s="91"/>
      <c r="K58" s="90"/>
      <c r="L58" s="91"/>
      <c r="M58" s="91"/>
      <c r="N58" s="90"/>
      <c r="O58" s="91"/>
      <c r="P58" s="91"/>
      <c r="Q58" s="90"/>
      <c r="R58" s="91"/>
      <c r="S58" s="91"/>
    </row>
    <row r="59" spans="1:19" ht="12.75">
      <c r="A59" s="79" t="s">
        <v>48</v>
      </c>
      <c r="B59" s="90">
        <v>64</v>
      </c>
      <c r="C59" s="96">
        <v>57</v>
      </c>
      <c r="D59" s="91">
        <f>SUM(B59:C59)</f>
        <v>121</v>
      </c>
      <c r="E59" s="90">
        <v>10</v>
      </c>
      <c r="F59" s="91">
        <v>9</v>
      </c>
      <c r="G59" s="91">
        <f>SUM(E59:F59)</f>
        <v>19</v>
      </c>
      <c r="H59" s="90">
        <v>35</v>
      </c>
      <c r="I59" s="91">
        <v>72</v>
      </c>
      <c r="J59" s="91">
        <f>SUM(H59:I59)</f>
        <v>107</v>
      </c>
      <c r="K59" s="90">
        <v>69</v>
      </c>
      <c r="L59" s="91">
        <v>83</v>
      </c>
      <c r="M59" s="91">
        <f>SUM(K59:L59)</f>
        <v>152</v>
      </c>
      <c r="N59" s="90">
        <f aca="true" t="shared" si="18" ref="N59:O62">SUM(B59,H59)</f>
        <v>99</v>
      </c>
      <c r="O59" s="91">
        <f t="shared" si="18"/>
        <v>129</v>
      </c>
      <c r="P59" s="91">
        <f>SUM(N59:O59)</f>
        <v>228</v>
      </c>
      <c r="Q59" s="90">
        <f aca="true" t="shared" si="19" ref="Q59:R62">SUM(E59,K59)</f>
        <v>79</v>
      </c>
      <c r="R59" s="91">
        <f t="shared" si="19"/>
        <v>92</v>
      </c>
      <c r="S59" s="91">
        <f>SUM(Q59:R59)</f>
        <v>171</v>
      </c>
    </row>
    <row r="60" spans="1:19" ht="12.75">
      <c r="A60" s="79" t="s">
        <v>8</v>
      </c>
      <c r="B60" s="90">
        <v>11</v>
      </c>
      <c r="C60" s="91">
        <v>7</v>
      </c>
      <c r="D60" s="91">
        <f>SUM(B60:C60)</f>
        <v>18</v>
      </c>
      <c r="E60" s="90">
        <v>0</v>
      </c>
      <c r="F60" s="91">
        <v>0</v>
      </c>
      <c r="G60" s="91">
        <f>SUM(E60:F60)</f>
        <v>0</v>
      </c>
      <c r="H60" s="90">
        <v>15</v>
      </c>
      <c r="I60" s="91">
        <v>17</v>
      </c>
      <c r="J60" s="91">
        <f>SUM(H60:I60)</f>
        <v>32</v>
      </c>
      <c r="K60" s="90">
        <v>9</v>
      </c>
      <c r="L60" s="91">
        <v>9</v>
      </c>
      <c r="M60" s="91">
        <f>SUM(K60:L60)</f>
        <v>18</v>
      </c>
      <c r="N60" s="90">
        <f t="shared" si="18"/>
        <v>26</v>
      </c>
      <c r="O60" s="91">
        <f t="shared" si="18"/>
        <v>24</v>
      </c>
      <c r="P60" s="91">
        <f>SUM(N60:O60)</f>
        <v>50</v>
      </c>
      <c r="Q60" s="90">
        <f t="shared" si="19"/>
        <v>9</v>
      </c>
      <c r="R60" s="91">
        <f t="shared" si="19"/>
        <v>9</v>
      </c>
      <c r="S60" s="91">
        <f>SUM(Q60:R60)</f>
        <v>18</v>
      </c>
    </row>
    <row r="61" spans="1:19" ht="12.75">
      <c r="A61" s="79" t="s">
        <v>9</v>
      </c>
      <c r="B61" s="90">
        <v>0</v>
      </c>
      <c r="C61" s="91">
        <v>0</v>
      </c>
      <c r="D61" s="91">
        <f>SUM(B61:C61)</f>
        <v>0</v>
      </c>
      <c r="E61" s="92">
        <v>0</v>
      </c>
      <c r="F61" s="91">
        <v>0</v>
      </c>
      <c r="G61" s="91">
        <f>SUM(E61:F61)</f>
        <v>0</v>
      </c>
      <c r="H61" s="90">
        <v>0</v>
      </c>
      <c r="I61" s="91">
        <v>0</v>
      </c>
      <c r="J61" s="91">
        <f>SUM(H61:I61)</f>
        <v>0</v>
      </c>
      <c r="K61" s="90">
        <v>0</v>
      </c>
      <c r="L61" s="91">
        <v>0</v>
      </c>
      <c r="M61" s="91">
        <f>SUM(K61:L61)</f>
        <v>0</v>
      </c>
      <c r="N61" s="90">
        <f t="shared" si="18"/>
        <v>0</v>
      </c>
      <c r="O61" s="91">
        <f t="shared" si="18"/>
        <v>0</v>
      </c>
      <c r="P61" s="91">
        <f>SUM(N61:O61)</f>
        <v>0</v>
      </c>
      <c r="Q61" s="90">
        <f t="shared" si="19"/>
        <v>0</v>
      </c>
      <c r="R61" s="91">
        <f t="shared" si="19"/>
        <v>0</v>
      </c>
      <c r="S61" s="91">
        <f>SUM(Q61:R61)</f>
        <v>0</v>
      </c>
    </row>
    <row r="62" spans="1:19" ht="12.75">
      <c r="A62" s="79" t="s">
        <v>10</v>
      </c>
      <c r="B62" s="90">
        <v>884</v>
      </c>
      <c r="C62" s="91">
        <v>718</v>
      </c>
      <c r="D62" s="91">
        <f>SUM(B62:C62)</f>
        <v>1602</v>
      </c>
      <c r="E62" s="90">
        <v>88</v>
      </c>
      <c r="F62" s="91">
        <v>85</v>
      </c>
      <c r="G62" s="91">
        <f>SUM(E62:F62)</f>
        <v>173</v>
      </c>
      <c r="H62" s="90">
        <v>525</v>
      </c>
      <c r="I62" s="91">
        <v>1089</v>
      </c>
      <c r="J62" s="91">
        <f>SUM(H62:I62)</f>
        <v>1614</v>
      </c>
      <c r="K62" s="90">
        <v>562</v>
      </c>
      <c r="L62" s="91">
        <v>784</v>
      </c>
      <c r="M62" s="91">
        <f>SUM(K62:L62)</f>
        <v>1346</v>
      </c>
      <c r="N62" s="90">
        <f t="shared" si="18"/>
        <v>1409</v>
      </c>
      <c r="O62" s="91">
        <f t="shared" si="18"/>
        <v>1807</v>
      </c>
      <c r="P62" s="91">
        <f>SUM(N62:O62)</f>
        <v>3216</v>
      </c>
      <c r="Q62" s="90">
        <f t="shared" si="19"/>
        <v>650</v>
      </c>
      <c r="R62" s="91">
        <f t="shared" si="19"/>
        <v>869</v>
      </c>
      <c r="S62" s="91">
        <f>SUM(Q62:R62)</f>
        <v>1519</v>
      </c>
    </row>
    <row r="63" spans="1:19" ht="12.75">
      <c r="A63" s="93" t="s">
        <v>4</v>
      </c>
      <c r="B63" s="94">
        <f aca="true" t="shared" si="20" ref="B63:S63">SUM(B59:B62)</f>
        <v>959</v>
      </c>
      <c r="C63" s="95">
        <f t="shared" si="20"/>
        <v>782</v>
      </c>
      <c r="D63" s="95">
        <f t="shared" si="20"/>
        <v>1741</v>
      </c>
      <c r="E63" s="94">
        <f t="shared" si="20"/>
        <v>98</v>
      </c>
      <c r="F63" s="95">
        <f t="shared" si="20"/>
        <v>94</v>
      </c>
      <c r="G63" s="95">
        <f t="shared" si="20"/>
        <v>192</v>
      </c>
      <c r="H63" s="94">
        <f t="shared" si="20"/>
        <v>575</v>
      </c>
      <c r="I63" s="95">
        <f t="shared" si="20"/>
        <v>1178</v>
      </c>
      <c r="J63" s="95">
        <f t="shared" si="20"/>
        <v>1753</v>
      </c>
      <c r="K63" s="94">
        <f t="shared" si="20"/>
        <v>640</v>
      </c>
      <c r="L63" s="95">
        <f t="shared" si="20"/>
        <v>876</v>
      </c>
      <c r="M63" s="95">
        <f t="shared" si="20"/>
        <v>1516</v>
      </c>
      <c r="N63" s="94">
        <f t="shared" si="20"/>
        <v>1534</v>
      </c>
      <c r="O63" s="95">
        <f t="shared" si="20"/>
        <v>1960</v>
      </c>
      <c r="P63" s="95">
        <f t="shared" si="20"/>
        <v>3494</v>
      </c>
      <c r="Q63" s="94">
        <f t="shared" si="20"/>
        <v>738</v>
      </c>
      <c r="R63" s="95">
        <f t="shared" si="20"/>
        <v>970</v>
      </c>
      <c r="S63" s="95">
        <f t="shared" si="20"/>
        <v>1708</v>
      </c>
    </row>
    <row r="64" spans="1:19" ht="12.75">
      <c r="A64" s="93"/>
      <c r="B64" s="97"/>
      <c r="C64" s="98"/>
      <c r="D64" s="98"/>
      <c r="E64" s="97"/>
      <c r="F64" s="98"/>
      <c r="G64" s="98"/>
      <c r="H64" s="97"/>
      <c r="I64" s="98"/>
      <c r="J64" s="98"/>
      <c r="K64" s="97"/>
      <c r="L64" s="98"/>
      <c r="M64" s="98"/>
      <c r="N64" s="97"/>
      <c r="O64" s="98"/>
      <c r="P64" s="98"/>
      <c r="Q64" s="97"/>
      <c r="R64" s="98"/>
      <c r="S64" s="98"/>
    </row>
    <row r="65" spans="1:19" s="99" customFormat="1" ht="24.75" customHeight="1">
      <c r="A65" s="225" t="s">
        <v>77</v>
      </c>
      <c r="B65" s="97">
        <f aca="true" t="shared" si="21" ref="B65:S65">SUM(B63,B56,B49,B39,B36,B29,B22,B15)</f>
        <v>26152</v>
      </c>
      <c r="C65" s="98">
        <f t="shared" si="21"/>
        <v>43858</v>
      </c>
      <c r="D65" s="98">
        <f t="shared" si="21"/>
        <v>70010</v>
      </c>
      <c r="E65" s="97">
        <f t="shared" si="21"/>
        <v>7060</v>
      </c>
      <c r="F65" s="98">
        <f t="shared" si="21"/>
        <v>16188</v>
      </c>
      <c r="G65" s="98">
        <f t="shared" si="21"/>
        <v>23248</v>
      </c>
      <c r="H65" s="97">
        <f t="shared" si="21"/>
        <v>7233</v>
      </c>
      <c r="I65" s="98">
        <f t="shared" si="21"/>
        <v>29762</v>
      </c>
      <c r="J65" s="98">
        <f t="shared" si="21"/>
        <v>36995</v>
      </c>
      <c r="K65" s="97">
        <f t="shared" si="21"/>
        <v>6654</v>
      </c>
      <c r="L65" s="98">
        <f t="shared" si="21"/>
        <v>15397</v>
      </c>
      <c r="M65" s="98">
        <f t="shared" si="21"/>
        <v>22051</v>
      </c>
      <c r="N65" s="97">
        <f t="shared" si="21"/>
        <v>33385</v>
      </c>
      <c r="O65" s="98">
        <f t="shared" si="21"/>
        <v>73620</v>
      </c>
      <c r="P65" s="98">
        <f t="shared" si="21"/>
        <v>107005</v>
      </c>
      <c r="Q65" s="97">
        <f t="shared" si="21"/>
        <v>13714</v>
      </c>
      <c r="R65" s="98">
        <f t="shared" si="21"/>
        <v>31585</v>
      </c>
      <c r="S65" s="98">
        <f t="shared" si="21"/>
        <v>45299</v>
      </c>
    </row>
    <row r="66" spans="1:19" ht="12.75">
      <c r="A66" s="224"/>
      <c r="B66" s="97"/>
      <c r="C66" s="98"/>
      <c r="D66" s="98"/>
      <c r="E66" s="97"/>
      <c r="F66" s="98"/>
      <c r="G66" s="98"/>
      <c r="H66" s="97"/>
      <c r="I66" s="98"/>
      <c r="J66" s="98"/>
      <c r="K66" s="97"/>
      <c r="L66" s="98"/>
      <c r="M66" s="98"/>
      <c r="N66" s="97"/>
      <c r="O66" s="98"/>
      <c r="P66" s="98"/>
      <c r="Q66" s="97"/>
      <c r="R66" s="98"/>
      <c r="S66" s="98"/>
    </row>
    <row r="67" spans="1:19" s="99" customFormat="1" ht="27.75" customHeight="1">
      <c r="A67" s="225" t="s">
        <v>78</v>
      </c>
      <c r="B67" s="97">
        <f>SUM(B63,B56,B49,B39,B36,B29,B22,B15,B42)</f>
        <v>26152</v>
      </c>
      <c r="C67" s="98">
        <f aca="true" t="shared" si="22" ref="C67:S67">SUM(C63,C56,C49,C39,C36,C29,C22,C15,C42)</f>
        <v>43858</v>
      </c>
      <c r="D67" s="174">
        <f t="shared" si="22"/>
        <v>70010</v>
      </c>
      <c r="E67" s="97">
        <f t="shared" si="22"/>
        <v>7130</v>
      </c>
      <c r="F67" s="98">
        <f t="shared" si="22"/>
        <v>16386</v>
      </c>
      <c r="G67" s="174">
        <f t="shared" si="22"/>
        <v>23516</v>
      </c>
      <c r="H67" s="97">
        <f t="shared" si="22"/>
        <v>7233</v>
      </c>
      <c r="I67" s="98">
        <f t="shared" si="22"/>
        <v>29762</v>
      </c>
      <c r="J67" s="174">
        <f t="shared" si="22"/>
        <v>36995</v>
      </c>
      <c r="K67" s="97">
        <f t="shared" si="22"/>
        <v>6701</v>
      </c>
      <c r="L67" s="98">
        <f t="shared" si="22"/>
        <v>15818</v>
      </c>
      <c r="M67" s="174">
        <f t="shared" si="22"/>
        <v>22519</v>
      </c>
      <c r="N67" s="97">
        <f t="shared" si="22"/>
        <v>33385</v>
      </c>
      <c r="O67" s="98">
        <f t="shared" si="22"/>
        <v>73620</v>
      </c>
      <c r="P67" s="174">
        <f t="shared" si="22"/>
        <v>107005</v>
      </c>
      <c r="Q67" s="97">
        <f t="shared" si="22"/>
        <v>13831</v>
      </c>
      <c r="R67" s="98">
        <f t="shared" si="22"/>
        <v>32204</v>
      </c>
      <c r="S67" s="98">
        <f t="shared" si="22"/>
        <v>46035</v>
      </c>
    </row>
    <row r="68" ht="35.25" customHeight="1"/>
  </sheetData>
  <sheetProtection/>
  <printOptions horizontalCentered="1"/>
  <pageMargins left="0.1968503937007874" right="0" top="0.3937007874015748" bottom="0.3937007874015748" header="0.5118110236220472" footer="0.5118110236220472"/>
  <pageSetup fitToHeight="2" orientation="landscape" paperSize="9" scale="5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8.7109375" style="103" customWidth="1"/>
    <col min="2" max="19" width="7.57421875" style="103" customWidth="1"/>
    <col min="20" max="16384" width="9.140625" style="103" customWidth="1"/>
  </cols>
  <sheetData>
    <row r="1" spans="1:19" ht="12.75">
      <c r="A1" s="100" t="s">
        <v>65</v>
      </c>
      <c r="B1" s="101"/>
      <c r="C1" s="101"/>
      <c r="D1" s="101"/>
      <c r="E1" s="102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2.75">
      <c r="A2" s="104" t="s">
        <v>41</v>
      </c>
      <c r="B2" s="105"/>
      <c r="C2" s="105"/>
      <c r="D2" s="104"/>
      <c r="E2" s="106"/>
      <c r="F2" s="105"/>
      <c r="G2" s="107"/>
      <c r="H2" s="105"/>
      <c r="I2" s="107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1.25" customHeight="1">
      <c r="A3" s="104"/>
      <c r="B3" s="105"/>
      <c r="C3" s="105"/>
      <c r="D3" s="105"/>
      <c r="E3" s="106"/>
      <c r="F3" s="104"/>
      <c r="G3" s="107"/>
      <c r="H3" s="105"/>
      <c r="I3" s="107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>
      <c r="A4" s="104" t="s">
        <v>73</v>
      </c>
      <c r="B4" s="105"/>
      <c r="C4" s="105"/>
      <c r="D4" s="105"/>
      <c r="E4" s="106"/>
      <c r="F4" s="104"/>
      <c r="G4" s="107"/>
      <c r="H4" s="105"/>
      <c r="I4" s="107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3.5" thickBot="1">
      <c r="A5" s="101"/>
      <c r="B5" s="101"/>
      <c r="C5" s="101"/>
      <c r="D5" s="101"/>
      <c r="E5" s="102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ht="12.75">
      <c r="A6" s="108"/>
      <c r="B6" s="109" t="s">
        <v>39</v>
      </c>
      <c r="C6" s="110"/>
      <c r="D6" s="110"/>
      <c r="E6" s="110"/>
      <c r="F6" s="110"/>
      <c r="G6" s="110"/>
      <c r="H6" s="109" t="s">
        <v>40</v>
      </c>
      <c r="I6" s="110"/>
      <c r="J6" s="110"/>
      <c r="K6" s="110"/>
      <c r="L6" s="110"/>
      <c r="M6" s="110"/>
      <c r="N6" s="109" t="s">
        <v>4</v>
      </c>
      <c r="O6" s="110"/>
      <c r="P6" s="110"/>
      <c r="Q6" s="110"/>
      <c r="R6" s="110"/>
      <c r="S6" s="110"/>
    </row>
    <row r="7" spans="1:19" ht="12.75">
      <c r="A7" s="102"/>
      <c r="B7" s="111" t="s">
        <v>27</v>
      </c>
      <c r="C7" s="112"/>
      <c r="D7" s="112"/>
      <c r="E7" s="111" t="s">
        <v>28</v>
      </c>
      <c r="F7" s="112"/>
      <c r="G7" s="112"/>
      <c r="H7" s="111" t="s">
        <v>27</v>
      </c>
      <c r="I7" s="112"/>
      <c r="J7" s="112"/>
      <c r="K7" s="111" t="s">
        <v>28</v>
      </c>
      <c r="L7" s="112"/>
      <c r="M7" s="112"/>
      <c r="N7" s="111" t="s">
        <v>27</v>
      </c>
      <c r="O7" s="112"/>
      <c r="P7" s="112"/>
      <c r="Q7" s="111" t="s">
        <v>28</v>
      </c>
      <c r="R7" s="112"/>
      <c r="S7" s="112"/>
    </row>
    <row r="8" spans="1:19" s="173" customFormat="1" ht="12.75">
      <c r="A8" s="172"/>
      <c r="B8" s="193" t="s">
        <v>5</v>
      </c>
      <c r="C8" s="194" t="s">
        <v>6</v>
      </c>
      <c r="D8" s="194" t="s">
        <v>4</v>
      </c>
      <c r="E8" s="193" t="s">
        <v>5</v>
      </c>
      <c r="F8" s="194" t="s">
        <v>6</v>
      </c>
      <c r="G8" s="194" t="s">
        <v>4</v>
      </c>
      <c r="H8" s="193" t="s">
        <v>5</v>
      </c>
      <c r="I8" s="194" t="s">
        <v>6</v>
      </c>
      <c r="J8" s="194" t="s">
        <v>4</v>
      </c>
      <c r="K8" s="193" t="s">
        <v>5</v>
      </c>
      <c r="L8" s="194" t="s">
        <v>6</v>
      </c>
      <c r="M8" s="194" t="s">
        <v>4</v>
      </c>
      <c r="N8" s="193" t="s">
        <v>5</v>
      </c>
      <c r="O8" s="194" t="s">
        <v>6</v>
      </c>
      <c r="P8" s="194" t="s">
        <v>4</v>
      </c>
      <c r="Q8" s="193" t="s">
        <v>5</v>
      </c>
      <c r="R8" s="194" t="s">
        <v>6</v>
      </c>
      <c r="S8" s="194" t="s">
        <v>4</v>
      </c>
    </row>
    <row r="9" spans="1:19" ht="12.75">
      <c r="A9" s="100"/>
      <c r="B9" s="113"/>
      <c r="C9" s="100"/>
      <c r="D9" s="100"/>
      <c r="E9" s="114"/>
      <c r="F9" s="101"/>
      <c r="G9" s="101"/>
      <c r="H9" s="114"/>
      <c r="I9" s="101"/>
      <c r="J9" s="101"/>
      <c r="K9" s="114"/>
      <c r="L9" s="101"/>
      <c r="M9" s="101"/>
      <c r="N9" s="114"/>
      <c r="O9" s="101"/>
      <c r="P9" s="101"/>
      <c r="Q9" s="114"/>
      <c r="R9" s="101"/>
      <c r="S9" s="101"/>
    </row>
    <row r="10" spans="1:19" ht="12.75">
      <c r="A10" s="100" t="s">
        <v>7</v>
      </c>
      <c r="B10" s="115"/>
      <c r="C10" s="116"/>
      <c r="D10" s="116"/>
      <c r="E10" s="115"/>
      <c r="F10" s="116"/>
      <c r="G10" s="116"/>
      <c r="H10" s="115"/>
      <c r="I10" s="116"/>
      <c r="J10" s="116"/>
      <c r="K10" s="115"/>
      <c r="L10" s="116"/>
      <c r="M10" s="116"/>
      <c r="N10" s="115"/>
      <c r="O10" s="116"/>
      <c r="P10" s="116"/>
      <c r="Q10" s="115"/>
      <c r="R10" s="116"/>
      <c r="S10" s="116"/>
    </row>
    <row r="11" spans="1:19" ht="12.75">
      <c r="A11" s="101" t="s">
        <v>42</v>
      </c>
      <c r="B11" s="115">
        <f>79+6831</f>
        <v>6910</v>
      </c>
      <c r="C11" s="116">
        <f>7357+10769</f>
        <v>18126</v>
      </c>
      <c r="D11" s="116">
        <f>(B11+C11)</f>
        <v>25036</v>
      </c>
      <c r="E11" s="115">
        <f>31+886</f>
        <v>917</v>
      </c>
      <c r="F11" s="116">
        <f>2153+3995</f>
        <v>6148</v>
      </c>
      <c r="G11" s="116">
        <f>(E11+F11)</f>
        <v>7065</v>
      </c>
      <c r="H11" s="115">
        <f>13+1776</f>
        <v>1789</v>
      </c>
      <c r="I11" s="116">
        <f>4073+6499</f>
        <v>10572</v>
      </c>
      <c r="J11" s="116">
        <f>(H11+I11)</f>
        <v>12361</v>
      </c>
      <c r="K11" s="117">
        <f>37+604</f>
        <v>641</v>
      </c>
      <c r="L11" s="116">
        <f>2700+3569</f>
        <v>6269</v>
      </c>
      <c r="M11" s="116">
        <f>SUM(K11:L11)</f>
        <v>6910</v>
      </c>
      <c r="N11" s="115">
        <f aca="true" t="shared" si="0" ref="N11:S13">SUM(B11,H11)</f>
        <v>8699</v>
      </c>
      <c r="O11" s="116">
        <f t="shared" si="0"/>
        <v>28698</v>
      </c>
      <c r="P11" s="116">
        <f t="shared" si="0"/>
        <v>37397</v>
      </c>
      <c r="Q11" s="115">
        <f t="shared" si="0"/>
        <v>1558</v>
      </c>
      <c r="R11" s="116">
        <f t="shared" si="0"/>
        <v>12417</v>
      </c>
      <c r="S11" s="116">
        <f t="shared" si="0"/>
        <v>13975</v>
      </c>
    </row>
    <row r="12" spans="1:19" ht="12.75">
      <c r="A12" s="101" t="s">
        <v>51</v>
      </c>
      <c r="B12" s="115">
        <v>6178</v>
      </c>
      <c r="C12" s="116">
        <v>20218</v>
      </c>
      <c r="D12" s="116">
        <f>(B12+C12)</f>
        <v>26396</v>
      </c>
      <c r="E12" s="115">
        <v>993</v>
      </c>
      <c r="F12" s="116">
        <v>7110</v>
      </c>
      <c r="G12" s="116">
        <f>(E12+F12)</f>
        <v>8103</v>
      </c>
      <c r="H12" s="115">
        <v>2009</v>
      </c>
      <c r="I12" s="116">
        <v>12193</v>
      </c>
      <c r="J12" s="116">
        <f>(H12+I12)</f>
        <v>14202</v>
      </c>
      <c r="K12" s="117">
        <v>612</v>
      </c>
      <c r="L12" s="116">
        <v>4919</v>
      </c>
      <c r="M12" s="116">
        <f>SUM(K12:L12)</f>
        <v>5531</v>
      </c>
      <c r="N12" s="115">
        <f t="shared" si="0"/>
        <v>8187</v>
      </c>
      <c r="O12" s="116">
        <f t="shared" si="0"/>
        <v>32411</v>
      </c>
      <c r="P12" s="116">
        <f t="shared" si="0"/>
        <v>40598</v>
      </c>
      <c r="Q12" s="115">
        <f t="shared" si="0"/>
        <v>1605</v>
      </c>
      <c r="R12" s="116">
        <f t="shared" si="0"/>
        <v>12029</v>
      </c>
      <c r="S12" s="116">
        <f t="shared" si="0"/>
        <v>13634</v>
      </c>
    </row>
    <row r="13" spans="1:19" ht="12.75">
      <c r="A13" s="101" t="s">
        <v>58</v>
      </c>
      <c r="B13" s="115">
        <v>5425</v>
      </c>
      <c r="C13" s="116">
        <v>20410</v>
      </c>
      <c r="D13" s="116">
        <f>(B13+C13)</f>
        <v>25835</v>
      </c>
      <c r="E13" s="115">
        <v>820</v>
      </c>
      <c r="F13" s="116">
        <v>6372</v>
      </c>
      <c r="G13" s="116">
        <f>(E13+F13)</f>
        <v>7192</v>
      </c>
      <c r="H13" s="115">
        <v>1653</v>
      </c>
      <c r="I13" s="116">
        <v>12020</v>
      </c>
      <c r="J13" s="116">
        <f>(H13+I13)</f>
        <v>13673</v>
      </c>
      <c r="K13" s="117">
        <v>805</v>
      </c>
      <c r="L13" s="116">
        <v>6237</v>
      </c>
      <c r="M13" s="116">
        <f>SUM(K13:L13)</f>
        <v>7042</v>
      </c>
      <c r="N13" s="115">
        <f t="shared" si="0"/>
        <v>7078</v>
      </c>
      <c r="O13" s="116">
        <f t="shared" si="0"/>
        <v>32430</v>
      </c>
      <c r="P13" s="116">
        <f t="shared" si="0"/>
        <v>39508</v>
      </c>
      <c r="Q13" s="115">
        <f t="shared" si="0"/>
        <v>1625</v>
      </c>
      <c r="R13" s="116">
        <f t="shared" si="0"/>
        <v>12609</v>
      </c>
      <c r="S13" s="116">
        <f t="shared" si="0"/>
        <v>14234</v>
      </c>
    </row>
    <row r="14" spans="1:19" ht="12.75">
      <c r="A14" s="101" t="s">
        <v>72</v>
      </c>
      <c r="B14" s="115">
        <v>5015</v>
      </c>
      <c r="C14" s="116">
        <v>20398</v>
      </c>
      <c r="D14" s="116">
        <f>(B14+C14)</f>
        <v>25413</v>
      </c>
      <c r="E14" s="115">
        <v>870</v>
      </c>
      <c r="F14" s="116">
        <v>6964</v>
      </c>
      <c r="G14" s="116">
        <f>(E14+F14)</f>
        <v>7834</v>
      </c>
      <c r="H14" s="115">
        <v>1458</v>
      </c>
      <c r="I14" s="116">
        <v>11967</v>
      </c>
      <c r="J14" s="116">
        <f>(H14+I14)</f>
        <v>13425</v>
      </c>
      <c r="K14" s="117">
        <v>862</v>
      </c>
      <c r="L14" s="116">
        <v>6251</v>
      </c>
      <c r="M14" s="116">
        <f>SUM(K14:L14)</f>
        <v>7113</v>
      </c>
      <c r="N14" s="115">
        <f aca="true" t="shared" si="1" ref="N14:S14">SUM(B14,H14)</f>
        <v>6473</v>
      </c>
      <c r="O14" s="116">
        <f t="shared" si="1"/>
        <v>32365</v>
      </c>
      <c r="P14" s="116">
        <f t="shared" si="1"/>
        <v>38838</v>
      </c>
      <c r="Q14" s="115">
        <f t="shared" si="1"/>
        <v>1732</v>
      </c>
      <c r="R14" s="116">
        <f t="shared" si="1"/>
        <v>13215</v>
      </c>
      <c r="S14" s="116">
        <f t="shared" si="1"/>
        <v>14947</v>
      </c>
    </row>
    <row r="15" spans="1:19" ht="12.75">
      <c r="A15" s="102"/>
      <c r="B15" s="115"/>
      <c r="C15" s="116"/>
      <c r="D15" s="116"/>
      <c r="E15" s="115"/>
      <c r="F15" s="116"/>
      <c r="G15" s="116"/>
      <c r="H15" s="115"/>
      <c r="I15" s="116"/>
      <c r="J15" s="116"/>
      <c r="K15" s="115"/>
      <c r="L15" s="116"/>
      <c r="M15" s="116"/>
      <c r="N15" s="115"/>
      <c r="O15" s="116"/>
      <c r="P15" s="116"/>
      <c r="Q15" s="115"/>
      <c r="R15" s="116"/>
      <c r="S15" s="116"/>
    </row>
    <row r="16" spans="1:19" ht="12.75">
      <c r="A16" s="100" t="s">
        <v>11</v>
      </c>
      <c r="B16" s="115"/>
      <c r="C16" s="116"/>
      <c r="D16" s="116"/>
      <c r="E16" s="115"/>
      <c r="F16" s="116"/>
      <c r="G16" s="116"/>
      <c r="H16" s="115"/>
      <c r="I16" s="116"/>
      <c r="J16" s="116"/>
      <c r="K16" s="115"/>
      <c r="L16" s="116"/>
      <c r="M16" s="116"/>
      <c r="N16" s="115"/>
      <c r="O16" s="116"/>
      <c r="P16" s="116"/>
      <c r="Q16" s="115"/>
      <c r="R16" s="116"/>
      <c r="S16" s="116"/>
    </row>
    <row r="17" spans="1:19" ht="12.75">
      <c r="A17" s="101" t="s">
        <v>42</v>
      </c>
      <c r="B17" s="115">
        <f>6+849</f>
        <v>855</v>
      </c>
      <c r="C17" s="116">
        <f>223+1943</f>
        <v>2166</v>
      </c>
      <c r="D17" s="116">
        <f>SUM(B17:C17)</f>
        <v>3021</v>
      </c>
      <c r="E17" s="115">
        <f>1+116</f>
        <v>117</v>
      </c>
      <c r="F17" s="116">
        <f>76+564</f>
        <v>640</v>
      </c>
      <c r="G17" s="116">
        <f>SUM(E17:F17)</f>
        <v>757</v>
      </c>
      <c r="H17" s="115">
        <f>1+153</f>
        <v>154</v>
      </c>
      <c r="I17" s="116">
        <f>112+791</f>
        <v>903</v>
      </c>
      <c r="J17" s="116">
        <f>SUM(H17:I17)</f>
        <v>1057</v>
      </c>
      <c r="K17" s="117">
        <f>2+86</f>
        <v>88</v>
      </c>
      <c r="L17" s="116">
        <f>66+491</f>
        <v>557</v>
      </c>
      <c r="M17" s="116">
        <f>SUM(K17:L17)</f>
        <v>645</v>
      </c>
      <c r="N17" s="115">
        <f aca="true" t="shared" si="2" ref="N17:S19">SUM(B17,H17)</f>
        <v>1009</v>
      </c>
      <c r="O17" s="116">
        <f t="shared" si="2"/>
        <v>3069</v>
      </c>
      <c r="P17" s="116">
        <f t="shared" si="2"/>
        <v>4078</v>
      </c>
      <c r="Q17" s="115">
        <f t="shared" si="2"/>
        <v>205</v>
      </c>
      <c r="R17" s="116">
        <f t="shared" si="2"/>
        <v>1197</v>
      </c>
      <c r="S17" s="116">
        <f t="shared" si="2"/>
        <v>1402</v>
      </c>
    </row>
    <row r="18" spans="1:19" ht="12.75">
      <c r="A18" s="101" t="s">
        <v>51</v>
      </c>
      <c r="B18" s="115">
        <v>796</v>
      </c>
      <c r="C18" s="116">
        <v>2404</v>
      </c>
      <c r="D18" s="116">
        <f>SUM(B18:C18)</f>
        <v>3200</v>
      </c>
      <c r="E18" s="115">
        <v>173</v>
      </c>
      <c r="F18" s="116">
        <v>899</v>
      </c>
      <c r="G18" s="116">
        <f>SUM(E18:F18)</f>
        <v>1072</v>
      </c>
      <c r="H18" s="115">
        <v>201</v>
      </c>
      <c r="I18" s="116">
        <v>1015</v>
      </c>
      <c r="J18" s="116">
        <f>SUM(H18:I18)</f>
        <v>1216</v>
      </c>
      <c r="K18" s="117">
        <v>64</v>
      </c>
      <c r="L18" s="116">
        <v>416</v>
      </c>
      <c r="M18" s="116">
        <f>SUM(K18:L18)</f>
        <v>480</v>
      </c>
      <c r="N18" s="115">
        <f t="shared" si="2"/>
        <v>997</v>
      </c>
      <c r="O18" s="116">
        <f t="shared" si="2"/>
        <v>3419</v>
      </c>
      <c r="P18" s="116">
        <f t="shared" si="2"/>
        <v>4416</v>
      </c>
      <c r="Q18" s="115">
        <f t="shared" si="2"/>
        <v>237</v>
      </c>
      <c r="R18" s="116">
        <f t="shared" si="2"/>
        <v>1315</v>
      </c>
      <c r="S18" s="116">
        <f t="shared" si="2"/>
        <v>1552</v>
      </c>
    </row>
    <row r="19" spans="1:19" ht="12.75">
      <c r="A19" s="101" t="s">
        <v>58</v>
      </c>
      <c r="B19" s="115">
        <v>758</v>
      </c>
      <c r="C19" s="116">
        <v>2571</v>
      </c>
      <c r="D19" s="116">
        <f>SUM(B19:C19)</f>
        <v>3329</v>
      </c>
      <c r="E19" s="115">
        <v>176</v>
      </c>
      <c r="F19" s="116">
        <v>967</v>
      </c>
      <c r="G19" s="116">
        <f>SUM(E19:F19)</f>
        <v>1143</v>
      </c>
      <c r="H19" s="115">
        <v>183</v>
      </c>
      <c r="I19" s="116">
        <v>1068</v>
      </c>
      <c r="J19" s="116">
        <f>SUM(H19:I19)</f>
        <v>1251</v>
      </c>
      <c r="K19" s="117">
        <v>90</v>
      </c>
      <c r="L19" s="116">
        <v>575</v>
      </c>
      <c r="M19" s="116">
        <f>SUM(K19:L19)</f>
        <v>665</v>
      </c>
      <c r="N19" s="115">
        <f t="shared" si="2"/>
        <v>941</v>
      </c>
      <c r="O19" s="116">
        <f t="shared" si="2"/>
        <v>3639</v>
      </c>
      <c r="P19" s="116">
        <f t="shared" si="2"/>
        <v>4580</v>
      </c>
      <c r="Q19" s="115">
        <f t="shared" si="2"/>
        <v>266</v>
      </c>
      <c r="R19" s="116">
        <f t="shared" si="2"/>
        <v>1542</v>
      </c>
      <c r="S19" s="116">
        <f t="shared" si="2"/>
        <v>1808</v>
      </c>
    </row>
    <row r="20" spans="1:19" ht="12.75">
      <c r="A20" s="101" t="s">
        <v>72</v>
      </c>
      <c r="B20" s="115">
        <v>733</v>
      </c>
      <c r="C20" s="116">
        <v>2591</v>
      </c>
      <c r="D20" s="116">
        <f>SUM(B20:C20)</f>
        <v>3324</v>
      </c>
      <c r="E20" s="115">
        <v>169</v>
      </c>
      <c r="F20" s="116">
        <v>1038</v>
      </c>
      <c r="G20" s="116">
        <f>SUM(E20:F20)</f>
        <v>1207</v>
      </c>
      <c r="H20" s="115">
        <v>156</v>
      </c>
      <c r="I20" s="116">
        <v>1234</v>
      </c>
      <c r="J20" s="116">
        <f>SUM(H20:I20)</f>
        <v>1390</v>
      </c>
      <c r="K20" s="117">
        <v>105</v>
      </c>
      <c r="L20" s="116">
        <v>576</v>
      </c>
      <c r="M20" s="116">
        <f>SUM(K20:L20)</f>
        <v>681</v>
      </c>
      <c r="N20" s="115">
        <f aca="true" t="shared" si="3" ref="N20:S20">SUM(B20,H20)</f>
        <v>889</v>
      </c>
      <c r="O20" s="116">
        <f t="shared" si="3"/>
        <v>3825</v>
      </c>
      <c r="P20" s="116">
        <f t="shared" si="3"/>
        <v>4714</v>
      </c>
      <c r="Q20" s="115">
        <f t="shared" si="3"/>
        <v>274</v>
      </c>
      <c r="R20" s="116">
        <f t="shared" si="3"/>
        <v>1614</v>
      </c>
      <c r="S20" s="116">
        <f t="shared" si="3"/>
        <v>1888</v>
      </c>
    </row>
    <row r="21" spans="1:19" ht="12.75">
      <c r="A21" s="101"/>
      <c r="B21" s="115"/>
      <c r="C21" s="116"/>
      <c r="D21" s="116"/>
      <c r="E21" s="115"/>
      <c r="F21" s="116"/>
      <c r="G21" s="116"/>
      <c r="H21" s="115"/>
      <c r="I21" s="116"/>
      <c r="J21" s="116"/>
      <c r="K21" s="115"/>
      <c r="L21" s="116"/>
      <c r="M21" s="116"/>
      <c r="N21" s="115"/>
      <c r="O21" s="116"/>
      <c r="P21" s="116"/>
      <c r="Q21" s="115"/>
      <c r="R21" s="116"/>
      <c r="S21" s="116"/>
    </row>
    <row r="22" spans="1:19" ht="12.75">
      <c r="A22" s="100" t="s">
        <v>12</v>
      </c>
      <c r="B22" s="115"/>
      <c r="C22" s="116"/>
      <c r="D22" s="116"/>
      <c r="E22" s="115"/>
      <c r="F22" s="116"/>
      <c r="G22" s="116"/>
      <c r="H22" s="115"/>
      <c r="I22" s="116"/>
      <c r="J22" s="116"/>
      <c r="K22" s="115"/>
      <c r="L22" s="116"/>
      <c r="M22" s="116"/>
      <c r="N22" s="115"/>
      <c r="O22" s="116"/>
      <c r="P22" s="116"/>
      <c r="Q22" s="115"/>
      <c r="R22" s="116"/>
      <c r="S22" s="116"/>
    </row>
    <row r="23" spans="1:19" ht="12.75">
      <c r="A23" s="101" t="s">
        <v>42</v>
      </c>
      <c r="B23" s="115">
        <v>17620</v>
      </c>
      <c r="C23" s="116">
        <v>13908</v>
      </c>
      <c r="D23" s="116">
        <f>SUM(B23:C23)</f>
        <v>31528</v>
      </c>
      <c r="E23" s="115">
        <v>2779</v>
      </c>
      <c r="F23" s="116">
        <v>3851</v>
      </c>
      <c r="G23" s="116">
        <f>SUM(E23:F23)</f>
        <v>6630</v>
      </c>
      <c r="H23" s="115">
        <v>3816</v>
      </c>
      <c r="I23" s="116">
        <v>11562</v>
      </c>
      <c r="J23" s="116">
        <f>SUM(H23:I23)</f>
        <v>15378</v>
      </c>
      <c r="K23" s="117">
        <v>2113</v>
      </c>
      <c r="L23" s="116">
        <v>4353</v>
      </c>
      <c r="M23" s="116">
        <f>SUM(K23:L23)</f>
        <v>6466</v>
      </c>
      <c r="N23" s="115">
        <f aca="true" t="shared" si="4" ref="N23:S25">SUM(B23,H23)</f>
        <v>21436</v>
      </c>
      <c r="O23" s="116">
        <f t="shared" si="4"/>
        <v>25470</v>
      </c>
      <c r="P23" s="116">
        <f t="shared" si="4"/>
        <v>46906</v>
      </c>
      <c r="Q23" s="115">
        <f t="shared" si="4"/>
        <v>4892</v>
      </c>
      <c r="R23" s="116">
        <f t="shared" si="4"/>
        <v>8204</v>
      </c>
      <c r="S23" s="116">
        <f t="shared" si="4"/>
        <v>13096</v>
      </c>
    </row>
    <row r="24" spans="1:19" ht="12.75">
      <c r="A24" s="101" t="s">
        <v>51</v>
      </c>
      <c r="B24" s="115">
        <v>16362</v>
      </c>
      <c r="C24" s="116">
        <v>14391</v>
      </c>
      <c r="D24" s="116">
        <f>SUM(B24:C24)</f>
        <v>30753</v>
      </c>
      <c r="E24" s="115">
        <v>4204</v>
      </c>
      <c r="F24" s="116">
        <v>6005</v>
      </c>
      <c r="G24" s="116">
        <f>SUM(E24:F24)</f>
        <v>10209</v>
      </c>
      <c r="H24" s="115">
        <v>3640</v>
      </c>
      <c r="I24" s="116">
        <v>11694</v>
      </c>
      <c r="J24" s="116">
        <f>SUM(H24:I24)</f>
        <v>15334</v>
      </c>
      <c r="K24" s="117">
        <v>1701</v>
      </c>
      <c r="L24" s="116">
        <v>3673</v>
      </c>
      <c r="M24" s="116">
        <f>SUM(K24:L24)</f>
        <v>5374</v>
      </c>
      <c r="N24" s="115">
        <f t="shared" si="4"/>
        <v>20002</v>
      </c>
      <c r="O24" s="116">
        <f t="shared" si="4"/>
        <v>26085</v>
      </c>
      <c r="P24" s="116">
        <f t="shared" si="4"/>
        <v>46087</v>
      </c>
      <c r="Q24" s="115">
        <f t="shared" si="4"/>
        <v>5905</v>
      </c>
      <c r="R24" s="116">
        <f t="shared" si="4"/>
        <v>9678</v>
      </c>
      <c r="S24" s="116">
        <f t="shared" si="4"/>
        <v>15583</v>
      </c>
    </row>
    <row r="25" spans="1:19" ht="12.75">
      <c r="A25" s="101" t="s">
        <v>58</v>
      </c>
      <c r="B25" s="115">
        <v>15534</v>
      </c>
      <c r="C25" s="116">
        <v>15250</v>
      </c>
      <c r="D25" s="116">
        <f>SUM(B25:C25)</f>
        <v>30784</v>
      </c>
      <c r="E25" s="115">
        <v>3870</v>
      </c>
      <c r="F25" s="116">
        <v>5542</v>
      </c>
      <c r="G25" s="116">
        <f>SUM(E25:F25)</f>
        <v>9412</v>
      </c>
      <c r="H25" s="115">
        <v>3566</v>
      </c>
      <c r="I25" s="116">
        <v>11738</v>
      </c>
      <c r="J25" s="116">
        <f>SUM(H25:I25)</f>
        <v>15304</v>
      </c>
      <c r="K25" s="117">
        <v>2233</v>
      </c>
      <c r="L25" s="116">
        <v>4579</v>
      </c>
      <c r="M25" s="116">
        <f>SUM(K25:L25)</f>
        <v>6812</v>
      </c>
      <c r="N25" s="115">
        <f t="shared" si="4"/>
        <v>19100</v>
      </c>
      <c r="O25" s="116">
        <f t="shared" si="4"/>
        <v>26988</v>
      </c>
      <c r="P25" s="116">
        <f t="shared" si="4"/>
        <v>46088</v>
      </c>
      <c r="Q25" s="115">
        <f t="shared" si="4"/>
        <v>6103</v>
      </c>
      <c r="R25" s="116">
        <f t="shared" si="4"/>
        <v>10121</v>
      </c>
      <c r="S25" s="116">
        <f t="shared" si="4"/>
        <v>16224</v>
      </c>
    </row>
    <row r="26" spans="1:19" ht="12.75">
      <c r="A26" s="101" t="s">
        <v>72</v>
      </c>
      <c r="B26" s="115">
        <v>15093</v>
      </c>
      <c r="C26" s="116">
        <v>15617</v>
      </c>
      <c r="D26" s="116">
        <f>SUM(B26:C26)</f>
        <v>30710</v>
      </c>
      <c r="E26" s="115">
        <v>4216</v>
      </c>
      <c r="F26" s="116">
        <v>5937</v>
      </c>
      <c r="G26" s="116">
        <f>SUM(E26:F26)</f>
        <v>10153</v>
      </c>
      <c r="H26" s="115">
        <v>3696</v>
      </c>
      <c r="I26" s="116">
        <v>12256</v>
      </c>
      <c r="J26" s="116">
        <f>SUM(H26:I26)</f>
        <v>15952</v>
      </c>
      <c r="K26" s="117">
        <v>2161</v>
      </c>
      <c r="L26" s="116">
        <v>4620</v>
      </c>
      <c r="M26" s="116">
        <f>SUM(K26:L26)</f>
        <v>6781</v>
      </c>
      <c r="N26" s="115">
        <f aca="true" t="shared" si="5" ref="N26:S26">SUM(B26,H26)</f>
        <v>18789</v>
      </c>
      <c r="O26" s="116">
        <f t="shared" si="5"/>
        <v>27873</v>
      </c>
      <c r="P26" s="116">
        <f t="shared" si="5"/>
        <v>46662</v>
      </c>
      <c r="Q26" s="115">
        <f t="shared" si="5"/>
        <v>6377</v>
      </c>
      <c r="R26" s="116">
        <f t="shared" si="5"/>
        <v>10557</v>
      </c>
      <c r="S26" s="116">
        <f t="shared" si="5"/>
        <v>16934</v>
      </c>
    </row>
    <row r="27" spans="1:19" ht="15" customHeight="1">
      <c r="A27" s="102"/>
      <c r="B27" s="115"/>
      <c r="C27" s="116"/>
      <c r="D27" s="116"/>
      <c r="E27" s="115"/>
      <c r="F27" s="116"/>
      <c r="G27" s="116"/>
      <c r="H27" s="115"/>
      <c r="I27" s="116"/>
      <c r="J27" s="116"/>
      <c r="K27" s="115"/>
      <c r="L27" s="116"/>
      <c r="M27" s="116"/>
      <c r="N27" s="115"/>
      <c r="O27" s="116"/>
      <c r="P27" s="116"/>
      <c r="Q27" s="115"/>
      <c r="R27" s="116"/>
      <c r="S27" s="116"/>
    </row>
    <row r="28" spans="1:19" ht="12.75">
      <c r="A28" s="100" t="s">
        <v>13</v>
      </c>
      <c r="B28" s="115"/>
      <c r="C28" s="116"/>
      <c r="D28" s="116"/>
      <c r="E28" s="115"/>
      <c r="F28" s="116"/>
      <c r="G28" s="116"/>
      <c r="H28" s="115"/>
      <c r="I28" s="116"/>
      <c r="J28" s="116"/>
      <c r="K28" s="115"/>
      <c r="L28" s="116"/>
      <c r="M28" s="116"/>
      <c r="N28" s="115"/>
      <c r="O28" s="116"/>
      <c r="P28" s="116"/>
      <c r="Q28" s="115"/>
      <c r="R28" s="116"/>
      <c r="S28" s="116"/>
    </row>
    <row r="29" spans="1:19" ht="12.75">
      <c r="A29" s="101" t="s">
        <v>42</v>
      </c>
      <c r="B29" s="115">
        <v>1561</v>
      </c>
      <c r="C29" s="116">
        <v>1408</v>
      </c>
      <c r="D29" s="116">
        <f>SUM(B29:C29)</f>
        <v>2969</v>
      </c>
      <c r="E29" s="115">
        <v>286</v>
      </c>
      <c r="F29" s="116">
        <v>373</v>
      </c>
      <c r="G29" s="116">
        <f>SUM(E29:F29)</f>
        <v>659</v>
      </c>
      <c r="H29" s="115">
        <v>258</v>
      </c>
      <c r="I29" s="116">
        <v>507</v>
      </c>
      <c r="J29" s="116">
        <f>SUM(H29:I29)</f>
        <v>765</v>
      </c>
      <c r="K29" s="117">
        <v>195</v>
      </c>
      <c r="L29" s="116">
        <v>357</v>
      </c>
      <c r="M29" s="116">
        <f>SUM(K29:L29)</f>
        <v>552</v>
      </c>
      <c r="N29" s="115">
        <f>SUM(B29,H29)</f>
        <v>1819</v>
      </c>
      <c r="O29" s="116">
        <f aca="true" t="shared" si="6" ref="O29:S30">SUM(C29,I29)</f>
        <v>1915</v>
      </c>
      <c r="P29" s="116">
        <f t="shared" si="6"/>
        <v>3734</v>
      </c>
      <c r="Q29" s="115">
        <f t="shared" si="6"/>
        <v>481</v>
      </c>
      <c r="R29" s="116">
        <f t="shared" si="6"/>
        <v>730</v>
      </c>
      <c r="S29" s="116">
        <f t="shared" si="6"/>
        <v>1211</v>
      </c>
    </row>
    <row r="30" spans="1:19" ht="12.75">
      <c r="A30" s="101" t="s">
        <v>51</v>
      </c>
      <c r="B30" s="115">
        <v>1479</v>
      </c>
      <c r="C30" s="116">
        <v>1521</v>
      </c>
      <c r="D30" s="116">
        <f>SUM(B30:C30)</f>
        <v>3000</v>
      </c>
      <c r="E30" s="115">
        <v>437</v>
      </c>
      <c r="F30" s="116">
        <v>608</v>
      </c>
      <c r="G30" s="116">
        <f>SUM(E30:F30)</f>
        <v>1045</v>
      </c>
      <c r="H30" s="115">
        <v>297</v>
      </c>
      <c r="I30" s="116">
        <v>556</v>
      </c>
      <c r="J30" s="116">
        <f>SUM(H30:I30)</f>
        <v>853</v>
      </c>
      <c r="K30" s="117">
        <v>128</v>
      </c>
      <c r="L30" s="116">
        <v>255</v>
      </c>
      <c r="M30" s="116">
        <f>SUM(K30:L30)</f>
        <v>383</v>
      </c>
      <c r="N30" s="115">
        <f>SUM(B30,H30)</f>
        <v>1776</v>
      </c>
      <c r="O30" s="116">
        <f t="shared" si="6"/>
        <v>2077</v>
      </c>
      <c r="P30" s="116">
        <f t="shared" si="6"/>
        <v>3853</v>
      </c>
      <c r="Q30" s="115">
        <f t="shared" si="6"/>
        <v>565</v>
      </c>
      <c r="R30" s="116">
        <f t="shared" si="6"/>
        <v>863</v>
      </c>
      <c r="S30" s="116">
        <f t="shared" si="6"/>
        <v>1428</v>
      </c>
    </row>
    <row r="31" spans="1:19" ht="12.75">
      <c r="A31" s="101" t="s">
        <v>58</v>
      </c>
      <c r="B31" s="115">
        <v>1467</v>
      </c>
      <c r="C31" s="116">
        <v>1733</v>
      </c>
      <c r="D31" s="116">
        <f>SUM(B31:C31)</f>
        <v>3200</v>
      </c>
      <c r="E31" s="115">
        <v>450</v>
      </c>
      <c r="F31" s="116">
        <v>777</v>
      </c>
      <c r="G31" s="116">
        <f>SUM(E31:F31)</f>
        <v>1227</v>
      </c>
      <c r="H31" s="115">
        <v>275</v>
      </c>
      <c r="I31" s="116">
        <v>576</v>
      </c>
      <c r="J31" s="116">
        <f>SUM(H31:I31)</f>
        <v>851</v>
      </c>
      <c r="K31" s="117">
        <v>217</v>
      </c>
      <c r="L31" s="116">
        <v>386</v>
      </c>
      <c r="M31" s="116">
        <f>SUM(K31:L31)</f>
        <v>603</v>
      </c>
      <c r="N31" s="115">
        <f>SUM(B31,H31)</f>
        <v>1742</v>
      </c>
      <c r="O31" s="116">
        <f aca="true" t="shared" si="7" ref="O31:S32">SUM(C31,I31)</f>
        <v>2309</v>
      </c>
      <c r="P31" s="116">
        <f t="shared" si="7"/>
        <v>4051</v>
      </c>
      <c r="Q31" s="115">
        <f t="shared" si="7"/>
        <v>667</v>
      </c>
      <c r="R31" s="116">
        <f t="shared" si="7"/>
        <v>1163</v>
      </c>
      <c r="S31" s="116">
        <f t="shared" si="7"/>
        <v>1830</v>
      </c>
    </row>
    <row r="32" spans="1:19" ht="12.75">
      <c r="A32" s="101" t="s">
        <v>72</v>
      </c>
      <c r="B32" s="115">
        <v>1481</v>
      </c>
      <c r="C32" s="116">
        <v>1887</v>
      </c>
      <c r="D32" s="116">
        <f>SUM(B32:C32)</f>
        <v>3368</v>
      </c>
      <c r="E32" s="115">
        <v>476</v>
      </c>
      <c r="F32" s="116">
        <v>775</v>
      </c>
      <c r="G32" s="116">
        <f>SUM(E32:F32)</f>
        <v>1251</v>
      </c>
      <c r="H32" s="115">
        <v>273</v>
      </c>
      <c r="I32" s="116">
        <v>668</v>
      </c>
      <c r="J32" s="116">
        <f>SUM(H32:I32)</f>
        <v>941</v>
      </c>
      <c r="K32" s="117">
        <v>208</v>
      </c>
      <c r="L32" s="116">
        <v>474</v>
      </c>
      <c r="M32" s="116">
        <f>SUM(K32:L32)</f>
        <v>682</v>
      </c>
      <c r="N32" s="115">
        <f>SUM(B32,H32)</f>
        <v>1754</v>
      </c>
      <c r="O32" s="116">
        <f t="shared" si="7"/>
        <v>2555</v>
      </c>
      <c r="P32" s="116">
        <f t="shared" si="7"/>
        <v>4309</v>
      </c>
      <c r="Q32" s="115">
        <f t="shared" si="7"/>
        <v>684</v>
      </c>
      <c r="R32" s="116">
        <f t="shared" si="7"/>
        <v>1249</v>
      </c>
      <c r="S32" s="116">
        <f t="shared" si="7"/>
        <v>1933</v>
      </c>
    </row>
    <row r="33" spans="1:19" ht="13.5" customHeight="1">
      <c r="A33" s="101"/>
      <c r="B33" s="115"/>
      <c r="C33" s="116"/>
      <c r="D33" s="116"/>
      <c r="E33" s="115"/>
      <c r="F33" s="116"/>
      <c r="G33" s="116"/>
      <c r="H33" s="115"/>
      <c r="I33" s="116"/>
      <c r="J33" s="116"/>
      <c r="K33" s="115"/>
      <c r="L33" s="116"/>
      <c r="M33" s="116"/>
      <c r="N33" s="115"/>
      <c r="O33" s="116"/>
      <c r="P33" s="116"/>
      <c r="Q33" s="115"/>
      <c r="R33" s="116"/>
      <c r="S33" s="116"/>
    </row>
    <row r="34" spans="1:19" ht="12.75">
      <c r="A34" s="100" t="s">
        <v>14</v>
      </c>
      <c r="B34" s="115"/>
      <c r="C34" s="116"/>
      <c r="D34" s="116"/>
      <c r="E34" s="115"/>
      <c r="F34" s="116"/>
      <c r="G34" s="116"/>
      <c r="H34" s="115"/>
      <c r="I34" s="116"/>
      <c r="J34" s="116"/>
      <c r="K34" s="115"/>
      <c r="L34" s="116"/>
      <c r="M34" s="116"/>
      <c r="N34" s="115"/>
      <c r="O34" s="116"/>
      <c r="P34" s="116"/>
      <c r="Q34" s="115"/>
      <c r="R34" s="116"/>
      <c r="S34" s="116"/>
    </row>
    <row r="35" spans="1:19" ht="12.75">
      <c r="A35" s="101" t="s">
        <v>42</v>
      </c>
      <c r="B35" s="115">
        <f>2533+52</f>
        <v>2585</v>
      </c>
      <c r="C35" s="116">
        <f>1537+66</f>
        <v>1603</v>
      </c>
      <c r="D35" s="116">
        <f>SUM(B35:C35)</f>
        <v>4188</v>
      </c>
      <c r="E35" s="115">
        <f>792+0</f>
        <v>792</v>
      </c>
      <c r="F35" s="116">
        <f>714+0</f>
        <v>714</v>
      </c>
      <c r="G35" s="116">
        <f>SUM(E35:F35)</f>
        <v>1506</v>
      </c>
      <c r="H35" s="115">
        <f>538+21</f>
        <v>559</v>
      </c>
      <c r="I35" s="116">
        <f>758+43</f>
        <v>801</v>
      </c>
      <c r="J35" s="116">
        <f>SUM(H35:I35)</f>
        <v>1360</v>
      </c>
      <c r="K35" s="117">
        <f>1163+2</f>
        <v>1165</v>
      </c>
      <c r="L35" s="116">
        <f>1002+8</f>
        <v>1010</v>
      </c>
      <c r="M35" s="116">
        <f>SUM(K35:L35)</f>
        <v>2175</v>
      </c>
      <c r="N35" s="115">
        <f aca="true" t="shared" si="8" ref="N35:S37">SUM(B35,H35)</f>
        <v>3144</v>
      </c>
      <c r="O35" s="116">
        <f t="shared" si="8"/>
        <v>2404</v>
      </c>
      <c r="P35" s="116">
        <f t="shared" si="8"/>
        <v>5548</v>
      </c>
      <c r="Q35" s="115">
        <f t="shared" si="8"/>
        <v>1957</v>
      </c>
      <c r="R35" s="176">
        <f t="shared" si="8"/>
        <v>1724</v>
      </c>
      <c r="S35" s="116">
        <f t="shared" si="8"/>
        <v>3681</v>
      </c>
    </row>
    <row r="36" spans="1:19" ht="12.75">
      <c r="A36" s="101" t="s">
        <v>51</v>
      </c>
      <c r="B36" s="115">
        <v>2243</v>
      </c>
      <c r="C36" s="116">
        <v>1486</v>
      </c>
      <c r="D36" s="116">
        <f>SUM(B36:C36)</f>
        <v>3729</v>
      </c>
      <c r="E36" s="115">
        <v>902</v>
      </c>
      <c r="F36" s="116">
        <v>897</v>
      </c>
      <c r="G36" s="116">
        <f>SUM(E36:F36)</f>
        <v>1799</v>
      </c>
      <c r="H36" s="115">
        <v>752</v>
      </c>
      <c r="I36" s="116">
        <v>968</v>
      </c>
      <c r="J36" s="116">
        <f>SUM(H36:I36)</f>
        <v>1720</v>
      </c>
      <c r="K36" s="117">
        <v>1126</v>
      </c>
      <c r="L36" s="116">
        <v>978</v>
      </c>
      <c r="M36" s="116">
        <f>SUM(K36:L36)</f>
        <v>2104</v>
      </c>
      <c r="N36" s="115">
        <f t="shared" si="8"/>
        <v>2995</v>
      </c>
      <c r="O36" s="116">
        <f t="shared" si="8"/>
        <v>2454</v>
      </c>
      <c r="P36" s="116">
        <f t="shared" si="8"/>
        <v>5449</v>
      </c>
      <c r="Q36" s="115">
        <f t="shared" si="8"/>
        <v>2028</v>
      </c>
      <c r="R36" s="176">
        <f t="shared" si="8"/>
        <v>1875</v>
      </c>
      <c r="S36" s="116">
        <f t="shared" si="8"/>
        <v>3903</v>
      </c>
    </row>
    <row r="37" spans="1:19" ht="12.75">
      <c r="A37" s="101" t="s">
        <v>58</v>
      </c>
      <c r="B37" s="115">
        <v>2146</v>
      </c>
      <c r="C37" s="116">
        <v>1525</v>
      </c>
      <c r="D37" s="116">
        <f>SUM(B37:C37)</f>
        <v>3671</v>
      </c>
      <c r="E37" s="115">
        <v>949</v>
      </c>
      <c r="F37" s="116">
        <v>959</v>
      </c>
      <c r="G37" s="116">
        <f>SUM(E37:F37)</f>
        <v>1908</v>
      </c>
      <c r="H37" s="115">
        <v>639</v>
      </c>
      <c r="I37" s="116">
        <v>1031</v>
      </c>
      <c r="J37" s="116">
        <f>SUM(H37:I37)</f>
        <v>1670</v>
      </c>
      <c r="K37" s="117">
        <v>1209</v>
      </c>
      <c r="L37" s="116">
        <v>1131</v>
      </c>
      <c r="M37" s="116">
        <f>SUM(K37:L37)</f>
        <v>2340</v>
      </c>
      <c r="N37" s="115">
        <f t="shared" si="8"/>
        <v>2785</v>
      </c>
      <c r="O37" s="116">
        <f t="shared" si="8"/>
        <v>2556</v>
      </c>
      <c r="P37" s="116">
        <f t="shared" si="8"/>
        <v>5341</v>
      </c>
      <c r="Q37" s="115">
        <f t="shared" si="8"/>
        <v>2158</v>
      </c>
      <c r="R37" s="176">
        <f t="shared" si="8"/>
        <v>2090</v>
      </c>
      <c r="S37" s="116">
        <f t="shared" si="8"/>
        <v>4248</v>
      </c>
    </row>
    <row r="38" spans="1:19" ht="12.75">
      <c r="A38" s="101" t="s">
        <v>72</v>
      </c>
      <c r="B38" s="115">
        <v>2066</v>
      </c>
      <c r="C38" s="116">
        <v>1512</v>
      </c>
      <c r="D38" s="116">
        <f>SUM(B38:C38)</f>
        <v>3578</v>
      </c>
      <c r="E38" s="115">
        <v>1007</v>
      </c>
      <c r="F38" s="116">
        <v>1073</v>
      </c>
      <c r="G38" s="116">
        <f>SUM(E38:F38)</f>
        <v>2080</v>
      </c>
      <c r="H38" s="115">
        <v>656</v>
      </c>
      <c r="I38" s="116">
        <v>1167</v>
      </c>
      <c r="J38" s="116">
        <f>SUM(H38:I38)</f>
        <v>1823</v>
      </c>
      <c r="K38" s="117">
        <v>1407</v>
      </c>
      <c r="L38" s="116">
        <v>1255</v>
      </c>
      <c r="M38" s="116">
        <f>SUM(K38:L38)</f>
        <v>2662</v>
      </c>
      <c r="N38" s="115">
        <f aca="true" t="shared" si="9" ref="N38:S38">SUM(B38,H38)</f>
        <v>2722</v>
      </c>
      <c r="O38" s="116">
        <f t="shared" si="9"/>
        <v>2679</v>
      </c>
      <c r="P38" s="116">
        <f t="shared" si="9"/>
        <v>5401</v>
      </c>
      <c r="Q38" s="115">
        <f t="shared" si="9"/>
        <v>2414</v>
      </c>
      <c r="R38" s="176">
        <f t="shared" si="9"/>
        <v>2328</v>
      </c>
      <c r="S38" s="116">
        <f t="shared" si="9"/>
        <v>4742</v>
      </c>
    </row>
    <row r="39" spans="1:19" ht="14.25" customHeight="1">
      <c r="A39" s="101"/>
      <c r="B39" s="115"/>
      <c r="C39" s="116"/>
      <c r="D39" s="116"/>
      <c r="E39" s="115"/>
      <c r="F39" s="116"/>
      <c r="G39" s="116"/>
      <c r="H39" s="115"/>
      <c r="I39" s="116"/>
      <c r="J39" s="116"/>
      <c r="K39" s="115"/>
      <c r="L39" s="116"/>
      <c r="M39" s="116"/>
      <c r="N39" s="115"/>
      <c r="O39" s="116"/>
      <c r="P39" s="116"/>
      <c r="Q39" s="115"/>
      <c r="R39" s="116"/>
      <c r="S39" s="116"/>
    </row>
    <row r="40" spans="1:19" ht="14.25" customHeight="1">
      <c r="A40" s="100" t="s">
        <v>74</v>
      </c>
      <c r="B40" s="115"/>
      <c r="C40" s="116"/>
      <c r="D40" s="116"/>
      <c r="E40" s="115"/>
      <c r="F40" s="116"/>
      <c r="G40" s="116"/>
      <c r="H40" s="115"/>
      <c r="I40" s="116"/>
      <c r="J40" s="116"/>
      <c r="K40" s="115"/>
      <c r="L40" s="116"/>
      <c r="M40" s="116"/>
      <c r="N40" s="115"/>
      <c r="O40" s="116"/>
      <c r="P40" s="116"/>
      <c r="Q40" s="115"/>
      <c r="R40" s="116"/>
      <c r="S40" s="116"/>
    </row>
    <row r="41" spans="1:19" ht="14.25" customHeight="1">
      <c r="A41" s="101" t="s">
        <v>72</v>
      </c>
      <c r="B41" s="115">
        <v>0</v>
      </c>
      <c r="C41" s="116">
        <v>0</v>
      </c>
      <c r="D41" s="116">
        <f>B41+C41</f>
        <v>0</v>
      </c>
      <c r="E41" s="90">
        <v>70</v>
      </c>
      <c r="F41" s="216">
        <v>198</v>
      </c>
      <c r="G41" s="216">
        <f>SUM(E41:F41)</f>
        <v>268</v>
      </c>
      <c r="H41" s="90">
        <v>0</v>
      </c>
      <c r="I41" s="216">
        <v>0</v>
      </c>
      <c r="J41" s="216">
        <f>SUM(H41:I41)</f>
        <v>0</v>
      </c>
      <c r="K41" s="90">
        <v>47</v>
      </c>
      <c r="L41" s="216">
        <v>421</v>
      </c>
      <c r="M41" s="216">
        <f>SUM(K41:L41)</f>
        <v>468</v>
      </c>
      <c r="N41" s="90">
        <f>SUM(B41,H41)</f>
        <v>0</v>
      </c>
      <c r="O41" s="216">
        <f>SUM(C41,I41)</f>
        <v>0</v>
      </c>
      <c r="P41" s="216">
        <f>SUM(N41:O41)</f>
        <v>0</v>
      </c>
      <c r="Q41" s="90">
        <f>SUM(E41,K41)</f>
        <v>117</v>
      </c>
      <c r="R41" s="216">
        <f>SUM(F41,L41)</f>
        <v>619</v>
      </c>
      <c r="S41" s="216">
        <f>SUM(Q41:R41)</f>
        <v>736</v>
      </c>
    </row>
    <row r="42" spans="1:19" ht="14.25" customHeight="1">
      <c r="A42" s="101"/>
      <c r="B42" s="115"/>
      <c r="C42" s="116"/>
      <c r="D42" s="226"/>
      <c r="H42" s="115"/>
      <c r="I42" s="116"/>
      <c r="J42" s="116"/>
      <c r="K42" s="115"/>
      <c r="L42" s="116"/>
      <c r="M42" s="116"/>
      <c r="N42" s="115"/>
      <c r="O42" s="116"/>
      <c r="P42" s="116"/>
      <c r="Q42" s="115"/>
      <c r="R42" s="116"/>
      <c r="S42" s="116"/>
    </row>
    <row r="43" spans="1:19" ht="12.75">
      <c r="A43" s="1" t="s">
        <v>62</v>
      </c>
      <c r="B43" s="115"/>
      <c r="C43" s="116"/>
      <c r="D43" s="116"/>
      <c r="E43" s="115"/>
      <c r="F43" s="116"/>
      <c r="G43" s="116"/>
      <c r="H43" s="115"/>
      <c r="I43" s="116"/>
      <c r="J43" s="116"/>
      <c r="K43" s="115"/>
      <c r="L43" s="116"/>
      <c r="M43" s="116"/>
      <c r="N43" s="115"/>
      <c r="O43" s="116"/>
      <c r="P43" s="116"/>
      <c r="Q43" s="115"/>
      <c r="R43" s="116"/>
      <c r="S43" s="116"/>
    </row>
    <row r="44" spans="1:19" ht="12.75">
      <c r="A44" s="101" t="s">
        <v>42</v>
      </c>
      <c r="B44" s="115">
        <v>328</v>
      </c>
      <c r="C44" s="116">
        <v>415</v>
      </c>
      <c r="D44" s="116">
        <f>SUM(B44:C44)</f>
        <v>743</v>
      </c>
      <c r="E44" s="115">
        <v>219</v>
      </c>
      <c r="F44" s="116">
        <v>304</v>
      </c>
      <c r="G44" s="116">
        <f>SUM(E44:F44)</f>
        <v>523</v>
      </c>
      <c r="H44" s="115">
        <v>208</v>
      </c>
      <c r="I44" s="116">
        <v>746</v>
      </c>
      <c r="J44" s="116">
        <f>SUM(H44:I44)</f>
        <v>954</v>
      </c>
      <c r="K44" s="117">
        <v>965</v>
      </c>
      <c r="L44" s="116">
        <v>972</v>
      </c>
      <c r="M44" s="116">
        <f>SUM(K44:L44)</f>
        <v>1937</v>
      </c>
      <c r="N44" s="115">
        <f>SUM(B44,H44)</f>
        <v>536</v>
      </c>
      <c r="O44" s="116">
        <f>SUM(C44,I44)</f>
        <v>1161</v>
      </c>
      <c r="P44" s="116">
        <f aca="true" t="shared" si="10" ref="P44:S45">SUM(D44,J44)</f>
        <v>1697</v>
      </c>
      <c r="Q44" s="115">
        <f t="shared" si="10"/>
        <v>1184</v>
      </c>
      <c r="R44" s="116">
        <f t="shared" si="10"/>
        <v>1276</v>
      </c>
      <c r="S44" s="116">
        <f t="shared" si="10"/>
        <v>2460</v>
      </c>
    </row>
    <row r="45" spans="1:19" ht="12.75">
      <c r="A45" s="101" t="s">
        <v>51</v>
      </c>
      <c r="B45" s="115">
        <v>502</v>
      </c>
      <c r="C45" s="116">
        <v>669</v>
      </c>
      <c r="D45" s="116">
        <f>SUM(B45:C45)</f>
        <v>1171</v>
      </c>
      <c r="E45" s="115">
        <v>200</v>
      </c>
      <c r="F45" s="116">
        <v>325</v>
      </c>
      <c r="G45" s="116">
        <f>SUM(E45:F45)</f>
        <v>525</v>
      </c>
      <c r="H45" s="115">
        <v>263</v>
      </c>
      <c r="I45" s="116">
        <v>871</v>
      </c>
      <c r="J45" s="116">
        <f>SUM(H45:I45)</f>
        <v>1134</v>
      </c>
      <c r="K45" s="117">
        <v>886</v>
      </c>
      <c r="L45" s="116">
        <v>1145</v>
      </c>
      <c r="M45" s="116">
        <f>SUM(K45:L45)</f>
        <v>2031</v>
      </c>
      <c r="N45" s="115">
        <f>SUM(B45,H45)</f>
        <v>765</v>
      </c>
      <c r="O45" s="116">
        <f>SUM(C45,I45)</f>
        <v>1540</v>
      </c>
      <c r="P45" s="116">
        <f t="shared" si="10"/>
        <v>2305</v>
      </c>
      <c r="Q45" s="115">
        <f t="shared" si="10"/>
        <v>1086</v>
      </c>
      <c r="R45" s="116">
        <f t="shared" si="10"/>
        <v>1470</v>
      </c>
      <c r="S45" s="116">
        <f t="shared" si="10"/>
        <v>2556</v>
      </c>
    </row>
    <row r="46" spans="1:19" ht="12.75">
      <c r="A46" s="101" t="s">
        <v>58</v>
      </c>
      <c r="B46" s="115">
        <v>604</v>
      </c>
      <c r="C46" s="116">
        <v>862</v>
      </c>
      <c r="D46" s="116">
        <f>SUM(B46:C46)</f>
        <v>1466</v>
      </c>
      <c r="E46" s="115">
        <v>185</v>
      </c>
      <c r="F46" s="116">
        <v>272</v>
      </c>
      <c r="G46" s="116">
        <f>SUM(E46:F46)</f>
        <v>457</v>
      </c>
      <c r="H46" s="115">
        <v>357</v>
      </c>
      <c r="I46" s="116">
        <v>1117</v>
      </c>
      <c r="J46" s="116">
        <f>SUM(H46:I46)</f>
        <v>1474</v>
      </c>
      <c r="K46" s="117">
        <v>844</v>
      </c>
      <c r="L46" s="116">
        <v>1168</v>
      </c>
      <c r="M46" s="116">
        <f>SUM(K46:L46)</f>
        <v>2012</v>
      </c>
      <c r="N46" s="115">
        <f aca="true" t="shared" si="11" ref="N46:S46">SUM(B46,H46)</f>
        <v>961</v>
      </c>
      <c r="O46" s="116">
        <f t="shared" si="11"/>
        <v>1979</v>
      </c>
      <c r="P46" s="116">
        <f t="shared" si="11"/>
        <v>2940</v>
      </c>
      <c r="Q46" s="115">
        <f t="shared" si="11"/>
        <v>1029</v>
      </c>
      <c r="R46" s="116">
        <f t="shared" si="11"/>
        <v>1440</v>
      </c>
      <c r="S46" s="116">
        <f t="shared" si="11"/>
        <v>2469</v>
      </c>
    </row>
    <row r="47" spans="1:19" ht="12.75">
      <c r="A47" s="101" t="s">
        <v>72</v>
      </c>
      <c r="B47" s="115">
        <v>662</v>
      </c>
      <c r="C47" s="116">
        <v>960</v>
      </c>
      <c r="D47" s="116">
        <f>SUM(B47:C47)</f>
        <v>1622</v>
      </c>
      <c r="E47" s="115">
        <v>189</v>
      </c>
      <c r="F47" s="116">
        <v>254</v>
      </c>
      <c r="G47" s="116">
        <f>SUM(E47:F47)</f>
        <v>443</v>
      </c>
      <c r="H47" s="115">
        <v>338</v>
      </c>
      <c r="I47" s="116">
        <v>1158</v>
      </c>
      <c r="J47" s="116">
        <f>SUM(H47:I47)</f>
        <v>1496</v>
      </c>
      <c r="K47" s="117">
        <v>828</v>
      </c>
      <c r="L47" s="116">
        <v>1120</v>
      </c>
      <c r="M47" s="116">
        <f>SUM(K47:L47)</f>
        <v>1948</v>
      </c>
      <c r="N47" s="115">
        <f aca="true" t="shared" si="12" ref="N47:S47">SUM(B47,H47)</f>
        <v>1000</v>
      </c>
      <c r="O47" s="116">
        <f t="shared" si="12"/>
        <v>2118</v>
      </c>
      <c r="P47" s="116">
        <f t="shared" si="12"/>
        <v>3118</v>
      </c>
      <c r="Q47" s="115">
        <f t="shared" si="12"/>
        <v>1017</v>
      </c>
      <c r="R47" s="116">
        <f t="shared" si="12"/>
        <v>1374</v>
      </c>
      <c r="S47" s="116">
        <f t="shared" si="12"/>
        <v>2391</v>
      </c>
    </row>
    <row r="48" spans="1:19" ht="14.25" customHeight="1">
      <c r="A48" s="101"/>
      <c r="B48" s="115"/>
      <c r="C48" s="116"/>
      <c r="D48" s="116"/>
      <c r="E48" s="115"/>
      <c r="F48" s="116"/>
      <c r="G48" s="116"/>
      <c r="H48" s="115"/>
      <c r="I48" s="116"/>
      <c r="J48" s="116"/>
      <c r="K48" s="115"/>
      <c r="L48" s="116"/>
      <c r="M48" s="116"/>
      <c r="N48" s="115"/>
      <c r="O48" s="116"/>
      <c r="P48" s="116"/>
      <c r="Q48" s="115"/>
      <c r="R48" s="116"/>
      <c r="S48" s="116"/>
    </row>
    <row r="49" spans="1:19" ht="12.75">
      <c r="A49" s="1" t="s">
        <v>63</v>
      </c>
      <c r="B49" s="115"/>
      <c r="C49" s="116"/>
      <c r="D49" s="116"/>
      <c r="E49" s="115"/>
      <c r="F49" s="116"/>
      <c r="G49" s="116"/>
      <c r="H49" s="115"/>
      <c r="I49" s="116"/>
      <c r="J49" s="116"/>
      <c r="K49" s="115"/>
      <c r="L49" s="116"/>
      <c r="M49" s="116"/>
      <c r="N49" s="115"/>
      <c r="O49" s="116"/>
      <c r="P49" s="116"/>
      <c r="Q49" s="115"/>
      <c r="R49" s="116"/>
      <c r="S49" s="116"/>
    </row>
    <row r="50" spans="1:19" ht="12.75">
      <c r="A50" s="101" t="s">
        <v>42</v>
      </c>
      <c r="B50" s="115">
        <v>76</v>
      </c>
      <c r="C50" s="116">
        <v>50</v>
      </c>
      <c r="D50" s="116">
        <f>SUM(B50:C50)</f>
        <v>126</v>
      </c>
      <c r="E50" s="115">
        <v>34</v>
      </c>
      <c r="F50" s="116">
        <v>28</v>
      </c>
      <c r="G50" s="116">
        <f>SUM(E50:F50)</f>
        <v>62</v>
      </c>
      <c r="H50" s="115">
        <v>59</v>
      </c>
      <c r="I50" s="116">
        <v>78</v>
      </c>
      <c r="J50" s="116">
        <f>SUM(H50:I50)</f>
        <v>137</v>
      </c>
      <c r="K50" s="117">
        <v>608</v>
      </c>
      <c r="L50" s="116">
        <v>266</v>
      </c>
      <c r="M50" s="116">
        <f>SUM(K50:L50)</f>
        <v>874</v>
      </c>
      <c r="N50" s="115">
        <f aca="true" t="shared" si="13" ref="N50:S52">SUM(B50,H50)</f>
        <v>135</v>
      </c>
      <c r="O50" s="116">
        <f t="shared" si="13"/>
        <v>128</v>
      </c>
      <c r="P50" s="116">
        <f t="shared" si="13"/>
        <v>263</v>
      </c>
      <c r="Q50" s="115">
        <f t="shared" si="13"/>
        <v>642</v>
      </c>
      <c r="R50" s="116">
        <f t="shared" si="13"/>
        <v>294</v>
      </c>
      <c r="S50" s="116">
        <f t="shared" si="13"/>
        <v>936</v>
      </c>
    </row>
    <row r="51" spans="1:19" ht="12.75">
      <c r="A51" s="101" t="s">
        <v>51</v>
      </c>
      <c r="B51" s="115">
        <v>108</v>
      </c>
      <c r="C51" s="116">
        <v>75</v>
      </c>
      <c r="D51" s="116">
        <f>SUM(B51:C51)</f>
        <v>183</v>
      </c>
      <c r="E51" s="115">
        <v>38</v>
      </c>
      <c r="F51" s="116">
        <v>36</v>
      </c>
      <c r="G51" s="116">
        <f>SUM(E51:F51)</f>
        <v>74</v>
      </c>
      <c r="H51" s="115">
        <v>63</v>
      </c>
      <c r="I51" s="116">
        <v>111</v>
      </c>
      <c r="J51" s="116">
        <f>SUM(H51:I51)</f>
        <v>174</v>
      </c>
      <c r="K51" s="117">
        <v>606</v>
      </c>
      <c r="L51" s="116">
        <v>250</v>
      </c>
      <c r="M51" s="116">
        <f>SUM(K51:L51)</f>
        <v>856</v>
      </c>
      <c r="N51" s="115">
        <f t="shared" si="13"/>
        <v>171</v>
      </c>
      <c r="O51" s="116">
        <f t="shared" si="13"/>
        <v>186</v>
      </c>
      <c r="P51" s="116">
        <f t="shared" si="13"/>
        <v>357</v>
      </c>
      <c r="Q51" s="115">
        <f t="shared" si="13"/>
        <v>644</v>
      </c>
      <c r="R51" s="116">
        <f t="shared" si="13"/>
        <v>286</v>
      </c>
      <c r="S51" s="116">
        <f t="shared" si="13"/>
        <v>930</v>
      </c>
    </row>
    <row r="52" spans="1:19" ht="12.75">
      <c r="A52" s="101" t="s">
        <v>58</v>
      </c>
      <c r="B52" s="115">
        <v>142</v>
      </c>
      <c r="C52" s="116">
        <v>99</v>
      </c>
      <c r="D52" s="116">
        <f>SUM(B52:C52)</f>
        <v>241</v>
      </c>
      <c r="E52" s="115">
        <v>30</v>
      </c>
      <c r="F52" s="116">
        <v>34</v>
      </c>
      <c r="G52" s="116">
        <f>SUM(E52:F52)</f>
        <v>64</v>
      </c>
      <c r="H52" s="115">
        <v>76</v>
      </c>
      <c r="I52" s="116">
        <v>122</v>
      </c>
      <c r="J52" s="116">
        <f>SUM(H52:I52)</f>
        <v>198</v>
      </c>
      <c r="K52" s="117">
        <v>484</v>
      </c>
      <c r="L52" s="116">
        <v>246</v>
      </c>
      <c r="M52" s="116">
        <f>SUM(K52:L52)</f>
        <v>730</v>
      </c>
      <c r="N52" s="115">
        <f t="shared" si="13"/>
        <v>218</v>
      </c>
      <c r="O52" s="116">
        <f t="shared" si="13"/>
        <v>221</v>
      </c>
      <c r="P52" s="116">
        <f t="shared" si="13"/>
        <v>439</v>
      </c>
      <c r="Q52" s="115">
        <f t="shared" si="13"/>
        <v>514</v>
      </c>
      <c r="R52" s="116">
        <f t="shared" si="13"/>
        <v>280</v>
      </c>
      <c r="S52" s="116">
        <f t="shared" si="13"/>
        <v>794</v>
      </c>
    </row>
    <row r="53" spans="1:19" ht="12.75">
      <c r="A53" s="101" t="s">
        <v>72</v>
      </c>
      <c r="B53" s="115">
        <v>143</v>
      </c>
      <c r="C53" s="116">
        <v>111</v>
      </c>
      <c r="D53" s="116">
        <f>SUM(B53:C53)</f>
        <v>254</v>
      </c>
      <c r="E53" s="115">
        <v>35</v>
      </c>
      <c r="F53" s="116">
        <v>53</v>
      </c>
      <c r="G53" s="116">
        <f>SUM(E53:F53)</f>
        <v>88</v>
      </c>
      <c r="H53" s="115">
        <v>81</v>
      </c>
      <c r="I53" s="116">
        <v>134</v>
      </c>
      <c r="J53" s="116">
        <f>SUM(H53:I53)</f>
        <v>215</v>
      </c>
      <c r="K53" s="117">
        <v>443</v>
      </c>
      <c r="L53" s="116">
        <v>225</v>
      </c>
      <c r="M53" s="116">
        <f>SUM(K53:L53)</f>
        <v>668</v>
      </c>
      <c r="N53" s="115">
        <f aca="true" t="shared" si="14" ref="N53:S53">SUM(B53,H53)</f>
        <v>224</v>
      </c>
      <c r="O53" s="116">
        <f t="shared" si="14"/>
        <v>245</v>
      </c>
      <c r="P53" s="116">
        <f t="shared" si="14"/>
        <v>469</v>
      </c>
      <c r="Q53" s="115">
        <f t="shared" si="14"/>
        <v>478</v>
      </c>
      <c r="R53" s="116">
        <f t="shared" si="14"/>
        <v>278</v>
      </c>
      <c r="S53" s="116">
        <f t="shared" si="14"/>
        <v>756</v>
      </c>
    </row>
    <row r="54" spans="1:19" ht="15.75" customHeight="1">
      <c r="A54" s="101"/>
      <c r="B54" s="115"/>
      <c r="C54" s="116"/>
      <c r="D54" s="116"/>
      <c r="E54" s="115"/>
      <c r="F54" s="116"/>
      <c r="G54" s="116"/>
      <c r="H54" s="115"/>
      <c r="I54" s="116"/>
      <c r="J54" s="116"/>
      <c r="K54" s="115"/>
      <c r="L54" s="116"/>
      <c r="M54" s="116"/>
      <c r="N54" s="115"/>
      <c r="O54" s="116"/>
      <c r="P54" s="116"/>
      <c r="Q54" s="115"/>
      <c r="R54" s="116"/>
      <c r="S54" s="116"/>
    </row>
    <row r="55" spans="1:19" ht="12.75">
      <c r="A55" s="100" t="s">
        <v>15</v>
      </c>
      <c r="B55" s="115"/>
      <c r="C55" s="116"/>
      <c r="D55" s="116"/>
      <c r="E55" s="115"/>
      <c r="F55" s="116"/>
      <c r="G55" s="116"/>
      <c r="H55" s="115"/>
      <c r="I55" s="116"/>
      <c r="J55" s="116"/>
      <c r="K55" s="115"/>
      <c r="L55" s="116"/>
      <c r="M55" s="116"/>
      <c r="N55" s="115"/>
      <c r="O55" s="116"/>
      <c r="P55" s="116"/>
      <c r="Q55" s="115"/>
      <c r="R55" s="116"/>
      <c r="S55" s="116"/>
    </row>
    <row r="56" spans="1:19" ht="12.75">
      <c r="A56" s="101" t="s">
        <v>42</v>
      </c>
      <c r="B56" s="115">
        <v>894</v>
      </c>
      <c r="C56" s="116">
        <v>578</v>
      </c>
      <c r="D56" s="116">
        <f>SUM(B56:C56)</f>
        <v>1472</v>
      </c>
      <c r="E56" s="115">
        <v>42</v>
      </c>
      <c r="F56" s="116">
        <v>56</v>
      </c>
      <c r="G56" s="116">
        <f>SUM(E56:F56)</f>
        <v>98</v>
      </c>
      <c r="H56" s="115">
        <v>577</v>
      </c>
      <c r="I56" s="116">
        <v>997</v>
      </c>
      <c r="J56" s="116">
        <f>SUM(H56:I56)</f>
        <v>1574</v>
      </c>
      <c r="K56" s="117">
        <v>392</v>
      </c>
      <c r="L56" s="116">
        <v>579</v>
      </c>
      <c r="M56" s="116">
        <f>SUM(K56:L56)</f>
        <v>971</v>
      </c>
      <c r="N56" s="115">
        <f aca="true" t="shared" si="15" ref="N56:S58">SUM(B56,H56)</f>
        <v>1471</v>
      </c>
      <c r="O56" s="116">
        <f t="shared" si="15"/>
        <v>1575</v>
      </c>
      <c r="P56" s="116">
        <f t="shared" si="15"/>
        <v>3046</v>
      </c>
      <c r="Q56" s="115">
        <f t="shared" si="15"/>
        <v>434</v>
      </c>
      <c r="R56" s="116">
        <f>SUM(F56,L56)</f>
        <v>635</v>
      </c>
      <c r="S56" s="116">
        <f>SUM(G56,M56)</f>
        <v>1069</v>
      </c>
    </row>
    <row r="57" spans="1:19" ht="12.75">
      <c r="A57" s="101" t="s">
        <v>51</v>
      </c>
      <c r="B57" s="115">
        <v>916</v>
      </c>
      <c r="C57" s="116">
        <v>612</v>
      </c>
      <c r="D57" s="116">
        <f>SUM(B57:C57)</f>
        <v>1528</v>
      </c>
      <c r="E57" s="115">
        <v>71</v>
      </c>
      <c r="F57" s="116">
        <v>88</v>
      </c>
      <c r="G57" s="116">
        <f>SUM(E57:F57)</f>
        <v>159</v>
      </c>
      <c r="H57" s="115">
        <v>573</v>
      </c>
      <c r="I57" s="116">
        <v>1072</v>
      </c>
      <c r="J57" s="116">
        <f>SUM(H57:I57)</f>
        <v>1645</v>
      </c>
      <c r="K57" s="117">
        <v>482</v>
      </c>
      <c r="L57" s="116">
        <v>732</v>
      </c>
      <c r="M57" s="116">
        <f>SUM(K57:L57)</f>
        <v>1214</v>
      </c>
      <c r="N57" s="115">
        <f t="shared" si="15"/>
        <v>1489</v>
      </c>
      <c r="O57" s="116">
        <f t="shared" si="15"/>
        <v>1684</v>
      </c>
      <c r="P57" s="116">
        <f t="shared" si="15"/>
        <v>3173</v>
      </c>
      <c r="Q57" s="115">
        <f t="shared" si="15"/>
        <v>553</v>
      </c>
      <c r="R57" s="116">
        <f>SUM(F57,L57)</f>
        <v>820</v>
      </c>
      <c r="S57" s="116">
        <f>SUM(G57,M57)</f>
        <v>1373</v>
      </c>
    </row>
    <row r="58" spans="1:19" ht="12.75">
      <c r="A58" s="101" t="s">
        <v>58</v>
      </c>
      <c r="B58" s="115">
        <v>939</v>
      </c>
      <c r="C58" s="116">
        <v>708</v>
      </c>
      <c r="D58" s="116">
        <f>SUM(B58:C58)</f>
        <v>1647</v>
      </c>
      <c r="E58" s="115">
        <v>95</v>
      </c>
      <c r="F58" s="116">
        <v>99</v>
      </c>
      <c r="G58" s="116">
        <f>SUM(E58:F58)</f>
        <v>194</v>
      </c>
      <c r="H58" s="115">
        <v>573</v>
      </c>
      <c r="I58" s="116">
        <v>1119</v>
      </c>
      <c r="J58" s="116">
        <f>SUM(H58:I58)</f>
        <v>1692</v>
      </c>
      <c r="K58" s="117">
        <v>622</v>
      </c>
      <c r="L58" s="116">
        <v>845</v>
      </c>
      <c r="M58" s="116">
        <f>SUM(K58:L58)</f>
        <v>1467</v>
      </c>
      <c r="N58" s="115">
        <f t="shared" si="15"/>
        <v>1512</v>
      </c>
      <c r="O58" s="116">
        <f t="shared" si="15"/>
        <v>1827</v>
      </c>
      <c r="P58" s="116">
        <f t="shared" si="15"/>
        <v>3339</v>
      </c>
      <c r="Q58" s="115">
        <f t="shared" si="15"/>
        <v>717</v>
      </c>
      <c r="R58" s="116">
        <f t="shared" si="15"/>
        <v>944</v>
      </c>
      <c r="S58" s="116">
        <f t="shared" si="15"/>
        <v>1661</v>
      </c>
    </row>
    <row r="59" spans="1:19" ht="12.75">
      <c r="A59" s="101" t="s">
        <v>72</v>
      </c>
      <c r="B59" s="115">
        <v>959</v>
      </c>
      <c r="C59" s="116">
        <v>782</v>
      </c>
      <c r="D59" s="116">
        <f>SUM(B59:C59)</f>
        <v>1741</v>
      </c>
      <c r="E59" s="115">
        <v>98</v>
      </c>
      <c r="F59" s="116">
        <v>94</v>
      </c>
      <c r="G59" s="116">
        <f>SUM(E59:F59)</f>
        <v>192</v>
      </c>
      <c r="H59" s="115">
        <v>575</v>
      </c>
      <c r="I59" s="116">
        <v>1178</v>
      </c>
      <c r="J59" s="116">
        <f>SUM(H59:I59)</f>
        <v>1753</v>
      </c>
      <c r="K59" s="117">
        <v>640</v>
      </c>
      <c r="L59" s="116">
        <v>876</v>
      </c>
      <c r="M59" s="116">
        <f>SUM(K59:L59)</f>
        <v>1516</v>
      </c>
      <c r="N59" s="115">
        <f aca="true" t="shared" si="16" ref="N59:S59">SUM(B59,H59)</f>
        <v>1534</v>
      </c>
      <c r="O59" s="116">
        <f t="shared" si="16"/>
        <v>1960</v>
      </c>
      <c r="P59" s="116">
        <f t="shared" si="16"/>
        <v>3494</v>
      </c>
      <c r="Q59" s="115">
        <f t="shared" si="16"/>
        <v>738</v>
      </c>
      <c r="R59" s="116">
        <f t="shared" si="16"/>
        <v>970</v>
      </c>
      <c r="S59" s="116">
        <f t="shared" si="16"/>
        <v>1708</v>
      </c>
    </row>
    <row r="61" ht="12.75">
      <c r="A61" s="103" t="s">
        <v>52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2009-07-29T12:10:52Z</cp:lastPrinted>
  <dcterms:created xsi:type="dcterms:W3CDTF">1999-11-09T10:39:11Z</dcterms:created>
  <dcterms:modified xsi:type="dcterms:W3CDTF">2012-03-12T10:10:19Z</dcterms:modified>
  <cp:category/>
  <cp:version/>
  <cp:contentType/>
  <cp:contentStatus/>
</cp:coreProperties>
</file>