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85" yWindow="65521" windowWidth="9555" windowHeight="12285" tabRatio="767" activeTab="0"/>
  </bookViews>
  <sheets>
    <sheet name="INHOUD" sheetId="1" r:id="rId1"/>
    <sheet name="TOELICHTING" sheetId="2" r:id="rId2"/>
    <sheet name="09PALG01" sheetId="3" r:id="rId3"/>
    <sheet name="09PALG02" sheetId="4" r:id="rId4"/>
    <sheet name="09PALG03" sheetId="5" r:id="rId5"/>
    <sheet name="09PALG04" sheetId="6" r:id="rId6"/>
    <sheet name="09PALG05" sheetId="7" r:id="rId7"/>
    <sheet name="09PALG06" sheetId="8" r:id="rId8"/>
    <sheet name="09PALG07" sheetId="9" r:id="rId9"/>
    <sheet name="09PALG08" sheetId="10" r:id="rId10"/>
    <sheet name="09PALG9" sheetId="11" r:id="rId11"/>
    <sheet name="09PALG10" sheetId="12" r:id="rId12"/>
    <sheet name="09PALG11" sheetId="13" r:id="rId13"/>
    <sheet name="09PALG12" sheetId="14" r:id="rId14"/>
  </sheets>
  <definedNames>
    <definedName name="_xlnm.Print_Area" localSheetId="3">'09PALG02'!$A$1:$I$68</definedName>
    <definedName name="_xlnm.Print_Area" localSheetId="4">'09PALG03'!$A$1:$I$75</definedName>
    <definedName name="_xlnm.Print_Area" localSheetId="7">'09PALG06'!$A$1:$S$76</definedName>
    <definedName name="_xlnm.Print_Area" localSheetId="9">'09PALG08'!$A$1:$I$69</definedName>
    <definedName name="_xlnm.Print_Area" localSheetId="11">'09PALG10'!$A$1:$S$88</definedName>
    <definedName name="_xlnm.Print_Area" localSheetId="12">'09PALG11'!$A$1:$S$73</definedName>
    <definedName name="_xlnm.Print_Area" localSheetId="13">'09PALG12'!$A$1:$I$76</definedName>
  </definedNames>
  <calcPr fullCalcOnLoad="1"/>
</workbook>
</file>

<file path=xl/sharedStrings.xml><?xml version="1.0" encoding="utf-8"?>
<sst xmlns="http://schemas.openxmlformats.org/spreadsheetml/2006/main" count="881" uniqueCount="123">
  <si>
    <t xml:space="preserve"> </t>
  </si>
  <si>
    <t xml:space="preserve">PERSONEEL PER ONDERWIJSNIVEAU </t>
  </si>
  <si>
    <t>Bestuurs- en onderwijzend personeel</t>
  </si>
  <si>
    <t>Andere personeelscategorieën</t>
  </si>
  <si>
    <t>Totaal</t>
  </si>
  <si>
    <t>Mannen</t>
  </si>
  <si>
    <t>Vrouwen</t>
  </si>
  <si>
    <t>Gewoon basisonderwijs</t>
  </si>
  <si>
    <t xml:space="preserve">  Privaatrechtelijk</t>
  </si>
  <si>
    <t xml:space="preserve">  Provincie</t>
  </si>
  <si>
    <t xml:space="preserve">  Gemeente</t>
  </si>
  <si>
    <t>Buitengewoon basisonderwijs</t>
  </si>
  <si>
    <t>Gewoon secundair onderwijs</t>
  </si>
  <si>
    <t>Buitengewoon secundair onderwijs</t>
  </si>
  <si>
    <t>Hogescholenonderwijs</t>
  </si>
  <si>
    <t>Deeltijds kunstonderwijs</t>
  </si>
  <si>
    <t xml:space="preserve">  Vlaamse Gemeenschap</t>
  </si>
  <si>
    <t>BESTUURS- EN ONDERWIJZEND PERSONEEL PER ONDERWIJSNIVEAU, NAAR STATUUT</t>
  </si>
  <si>
    <t xml:space="preserve">  Vastbenoemden</t>
  </si>
  <si>
    <t xml:space="preserve">  Tijdelijken</t>
  </si>
  <si>
    <t>ANDERE PERSONEELSCATEGORIEËN PER ONDERWIJSNIVEAU, NAAR STATUUT</t>
  </si>
  <si>
    <t>(2) Personeel van centra voor leerlingenbegeleiding, onderwijsinspectie, pedagogische begeleiding, internaten, ...</t>
  </si>
  <si>
    <t>PERSONEEL PER ONDERWIJSNIVEAU</t>
  </si>
  <si>
    <t>BESTUURS- EN ONDERWIJZEND PERSONEEL NAAR LEEFTIJD, STATUUT EN GESLACHT</t>
  </si>
  <si>
    <t>Vastbenoemden</t>
  </si>
  <si>
    <t>Tijdelijken</t>
  </si>
  <si>
    <t>Leeftijd</t>
  </si>
  <si>
    <t>20-24</t>
  </si>
  <si>
    <t>25-29</t>
  </si>
  <si>
    <t>30-34</t>
  </si>
  <si>
    <t>35-39</t>
  </si>
  <si>
    <t>40-44</t>
  </si>
  <si>
    <t>45-49</t>
  </si>
  <si>
    <t>50-54</t>
  </si>
  <si>
    <t>55-59</t>
  </si>
  <si>
    <t>60+</t>
  </si>
  <si>
    <t>Aantal personen met volledige opdracht</t>
  </si>
  <si>
    <t>Aantal personen met gedeeltelijke opdracht</t>
  </si>
  <si>
    <t>BESTUURS- EN ONDERWIJZEND PERSONEEL PER ONDERWIJSNIVEAU, NAARGELANG DE OPDRACHT</t>
  </si>
  <si>
    <t xml:space="preserve">   2000-2001</t>
  </si>
  <si>
    <t>ANDERE PERSONEELSCATEGORIEËN NAAR LEEFTIJD, STATUUT EN GESLACHT</t>
  </si>
  <si>
    <t>(1) Inclusief personeel van centra voor leerlingenbegeleiding, onderwijsinspectie, pedagogische begeleiding, internaten, ...</t>
  </si>
  <si>
    <t>Andere (2)</t>
  </si>
  <si>
    <t xml:space="preserve">(1) In februari voor het schooljaar 2000-2001. Vanaf 1 september 2000 werden de activiteiten van de voormalige Psycho-Medisch-Sociale centra (PMS) en de Centra voor Medisch Schooltoezicht (MST) opgeheven. </t>
  </si>
  <si>
    <t xml:space="preserve">De taken werden overgenomen door de  Centra voor Leerlingenbegeleiding (CLB's). Het personeel van de MST ressorteerde onder het departement Welzijn, Volksgezondheid en Cultuur. Vanaf 1 september 2000 </t>
  </si>
  <si>
    <t xml:space="preserve">  Gemeenschapsonderwijs</t>
  </si>
  <si>
    <t>2002-2003</t>
  </si>
  <si>
    <t>2003-2004</t>
  </si>
  <si>
    <t xml:space="preserve">   2003-2004</t>
  </si>
  <si>
    <t>(1) In februari voor het schooljaar 2000-2001.</t>
  </si>
  <si>
    <t>2004-2005</t>
  </si>
  <si>
    <t>2005-2006</t>
  </si>
  <si>
    <t>2006-2007</t>
  </si>
  <si>
    <t>2007-2008</t>
  </si>
  <si>
    <t>BESTUURS- EN ONDERWIJZEND PERSONEEL PER ONDERWIJSNIVEAU EN SOORT INRICHTENDE MACHT, NAARGELANG DE OPDRACHT</t>
  </si>
  <si>
    <t>Totaal bestuurs- en</t>
  </si>
  <si>
    <t xml:space="preserve">   2006-2007</t>
  </si>
  <si>
    <t>ANDERE PERSONEELSCATEGORIEËN PER ONDERWIJSNIVEAU EN SOORT INRICHTENDE MACHT, NAARGELANG DE OPDRACHT</t>
  </si>
  <si>
    <t xml:space="preserve">Totaal andere </t>
  </si>
  <si>
    <t>Aantal personen (inclusief alle vervangingen, TBS+ en Bonus) -  januari (1)</t>
  </si>
  <si>
    <t>ANDERE PERSONEELSCATEGORIEËN PER ONDERWIJSNIVEAU, NAARGELANG DE OPDRACHT</t>
  </si>
  <si>
    <t>Secundair volwassenenonderwijs</t>
  </si>
  <si>
    <t>Hoger beroepsonderwijs van het volwassenenonderwijs</t>
  </si>
  <si>
    <t>is dit personeel overgeheveld naar het departement Onderwijs en wordt dit personeel eveneens geregistreerd bij de 'Andere personeelscategorieën'.</t>
  </si>
  <si>
    <t>2008-2009</t>
  </si>
  <si>
    <t xml:space="preserve">Aantal budgettaire fulltime-equivalenten (inclusief alle vervangingen, TBS+ en Bonus) - januari </t>
  </si>
  <si>
    <t xml:space="preserve">Aantal personen (inclusief alle vervangingen, TBS+ en Bonus) - januari </t>
  </si>
  <si>
    <t xml:space="preserve">Aantal personen (inclusief alle vervangingen, TBS+ en Bonus) - januari (1) </t>
  </si>
  <si>
    <t>Basiseducatie</t>
  </si>
  <si>
    <t>Algemeen totaal (zonder basiseducatie)</t>
  </si>
  <si>
    <t>Algemeen totaal (met basiseducatie)</t>
  </si>
  <si>
    <t>Totaal bestuurs- en onderwijzend personeel (zonder basiseducatie)</t>
  </si>
  <si>
    <t>Totaal bestuurs- en onderwijzend personeel (met basiseducatie)</t>
  </si>
  <si>
    <t>Totaal andere personeelscategorieën (zonder basiseducatie)</t>
  </si>
  <si>
    <t>ALLE ONDERWIJSNIVEAUS (zonder basiseducatie)</t>
  </si>
  <si>
    <t>ALLE ONDERWIJSNIVEAUS (met basiseducatie)</t>
  </si>
  <si>
    <t>ALLE ONDERWIJSNIVEAUS (zonder basiseducatie) (1)</t>
  </si>
  <si>
    <t>ALLE ONDERWIJSNIVEAUS (met basiseducatie) (1)</t>
  </si>
  <si>
    <t>onderwijzend personeel (zonder basiseducatie)</t>
  </si>
  <si>
    <t>onderwijzend personeel (met basiseducatie)</t>
  </si>
  <si>
    <t>personeelscategorieën (zonder basiseducatie)</t>
  </si>
  <si>
    <t>Schooljaar 2009-2010</t>
  </si>
  <si>
    <t>Aantal budgettaire fulltime-equivalenten (inclusief alle vervangingen, TBS+ en Bonus) - januari 2010</t>
  </si>
  <si>
    <t>2009-2010</t>
  </si>
  <si>
    <t>Aantal personen (inclusief alle vervangingen, TBS+ en Bonus) -  januari 2010</t>
  </si>
  <si>
    <t>Aantal personen (inclusief alle vervangingen, TBS+ en Bonus) - januari 2010</t>
  </si>
  <si>
    <t xml:space="preserve">   2009-2010</t>
  </si>
  <si>
    <t>PERSONEEL</t>
  </si>
  <si>
    <t>Toelichting bij de personeelsstatistieken</t>
  </si>
  <si>
    <t>Budgettaire fulltime-equivalenten</t>
  </si>
  <si>
    <t xml:space="preserve">Personeel per onderwijsniveau </t>
  </si>
  <si>
    <t>Bestuurs- en onderwijzend personeel per onderwijsniveau, naar statuut</t>
  </si>
  <si>
    <t>Andere personeelscategorieën per onderwijsniveau, naar statuut</t>
  </si>
  <si>
    <t>Aantal personen</t>
  </si>
  <si>
    <t>Personeel per onderwijsniveau</t>
  </si>
  <si>
    <t>Bestuurs- en onderwijzend personeel naar leeftijd, statuut en geslacht</t>
  </si>
  <si>
    <t>Bestuurs- en onderwijzend personeel per onderwijsniveau en inrichtende macht, naargelang de opdracht</t>
  </si>
  <si>
    <t>Bestuurs- en onderwijzend personeel per onderwijsniveau, naargelang de opdracht</t>
  </si>
  <si>
    <t>Andere personeelscategorieën naar leeftijd, statuut en geslacht</t>
  </si>
  <si>
    <t>Andere personeelscategorieën per onderwijsniveau en inrichtende macht, naargelang de opdracht</t>
  </si>
  <si>
    <t>Andere personeelscategorieën per onderwijsniveau naargelang de opdracht</t>
  </si>
  <si>
    <t>09PALG01</t>
  </si>
  <si>
    <t>09PALG02</t>
  </si>
  <si>
    <t>09PALG03</t>
  </si>
  <si>
    <t>09PALG04</t>
  </si>
  <si>
    <t>09PALG05</t>
  </si>
  <si>
    <t>09PALG06</t>
  </si>
  <si>
    <t>09PALG09</t>
  </si>
  <si>
    <t>09PALG08</t>
  </si>
  <si>
    <t>09PALG10</t>
  </si>
  <si>
    <t>09PALG11</t>
  </si>
  <si>
    <t>09PALG12</t>
  </si>
  <si>
    <t>09PALG07</t>
  </si>
  <si>
    <t>HBO5-verpleegkunde (1)</t>
  </si>
  <si>
    <t>(1) Zie toelichting op het tweede tabblad van deze werkmap.</t>
  </si>
  <si>
    <t>HBO5-verpleegkunde (2)</t>
  </si>
  <si>
    <t>(2) Zie toelichting op het tweede tabblad van deze werkmap.</t>
  </si>
  <si>
    <t>Andere (3)</t>
  </si>
  <si>
    <t>(3) Personeel van centra voor leerlingenbegeleiding, onderwijsinspectie, pedagogische begeleiding, internaten, ...</t>
  </si>
  <si>
    <t>TOELICHTING</t>
  </si>
  <si>
    <t>Totaal andere personeelscategorieën (met basiseducatie)</t>
  </si>
  <si>
    <t>Totaal andere</t>
  </si>
  <si>
    <t>personeelscategorieën (met basiseducatie)</t>
  </si>
</sst>
</file>

<file path=xl/styles.xml><?xml version="1.0" encoding="utf-8"?>
<styleSheet xmlns="http://schemas.openxmlformats.org/spreadsheetml/2006/main">
  <numFmts count="63">
    <numFmt numFmtId="5" formatCode="#,##0\ &quot;EUR&quot;;\-#,##0\ &quot;EUR&quot;"/>
    <numFmt numFmtId="6" formatCode="#,##0\ &quot;EUR&quot;;[Red]\-#,##0\ &quot;EUR&quot;"/>
    <numFmt numFmtId="7" formatCode="#,##0.00\ &quot;EUR&quot;;\-#,##0.00\ &quot;EUR&quot;"/>
    <numFmt numFmtId="8" formatCode="#,##0.00\ &quot;EUR&quot;;[Red]\-#,##0.00\ &quot;EUR&quot;"/>
    <numFmt numFmtId="42" formatCode="_-* #,##0\ &quot;EUR&quot;_-;\-* #,##0\ &quot;EUR&quot;_-;_-* &quot;-&quot;\ &quot;EUR&quot;_-;_-@_-"/>
    <numFmt numFmtId="41" formatCode="_-* #,##0\ _E_U_R_-;\-* #,##0\ _E_U_R_-;_-* &quot;-&quot;\ _E_U_R_-;_-@_-"/>
    <numFmt numFmtId="44" formatCode="_-* #,##0.00\ &quot;EUR&quot;_-;\-* #,##0.00\ &quot;EUR&quot;_-;_-* &quot;-&quot;??\ &quot;EUR&quot;_-;_-@_-"/>
    <numFmt numFmtId="43" formatCode="_-* #,##0.00\ _E_U_R_-;\-* #,##0.00\ _E_U_R_-;_-* &quot;-&quot;??\ _E_U_R_-;_-@_-"/>
    <numFmt numFmtId="164" formatCode="#,##0\ &quot;BF&quot;;\-#,##0\ &quot;BF&quot;"/>
    <numFmt numFmtId="165" formatCode="#,##0\ &quot;BF&quot;;[Red]\-#,##0\ &quot;BF&quot;"/>
    <numFmt numFmtId="166" formatCode="#,##0.00\ &quot;BF&quot;;\-#,##0.00\ &quot;BF&quot;"/>
    <numFmt numFmtId="167" formatCode="#,##0.00\ &quot;BF&quot;;[Red]\-#,##0.00\ &quot;BF&quot;"/>
    <numFmt numFmtId="168" formatCode="_-* #,##0\ &quot;BF&quot;_-;\-* #,##0\ &quot;BF&quot;_-;_-* &quot;-&quot;\ &quot;BF&quot;_-;_-@_-"/>
    <numFmt numFmtId="169" formatCode="_-* #,##0\ _B_F_-;\-* #,##0\ _B_F_-;_-* &quot;-&quot;\ _B_F_-;_-@_-"/>
    <numFmt numFmtId="170" formatCode="_-* #,##0.00\ &quot;BF&quot;_-;\-* #,##0.00\ &quot;BF&quot;_-;_-* &quot;-&quot;??\ &quot;BF&quot;_-;_-@_-"/>
    <numFmt numFmtId="171" formatCode="_-* #,##0.00\ _B_F_-;\-* #,##0.00\ _B_F_-;_-* &quot;-&quot;??\ _B_F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fl&quot;\ #,##0_-;&quot;fl&quot;\ #,##0\-"/>
    <numFmt numFmtId="181" formatCode="&quot;fl&quot;\ #,##0_-;[Red]&quot;fl&quot;\ #,##0\-"/>
    <numFmt numFmtId="182" formatCode="&quot;fl&quot;\ #,##0.00_-;&quot;fl&quot;\ #,##0.00\-"/>
    <numFmt numFmtId="183" formatCode="&quot;fl&quot;\ #,##0.00_-;[Red]&quot;fl&quot;\ #,##0.00\-"/>
    <numFmt numFmtId="184" formatCode="_-&quot;fl&quot;\ * #,##0_-;_-&quot;fl&quot;\ * #,##0\-;_-&quot;fl&quot;\ * &quot;-&quot;_-;_-@_-"/>
    <numFmt numFmtId="185" formatCode="_-* #,##0_-;_-* #,##0\-;_-* &quot;-&quot;_-;_-@_-"/>
    <numFmt numFmtId="186" formatCode="_-&quot;fl&quot;\ * #,##0.00_-;_-&quot;fl&quot;\ * #,##0.00\-;_-&quot;fl&quot;\ * &quot;-&quot;??_-;_-@_-"/>
    <numFmt numFmtId="187" formatCode="_-* #,##0.00_-;_-* #,##0.00\-;_-* &quot;-&quot;??_-;_-@_-"/>
    <numFmt numFmtId="188" formatCode="&quot;F&quot;\ #,##0_-;&quot;F&quot;\ #,##0\-"/>
    <numFmt numFmtId="189" formatCode="&quot;F&quot;\ #,##0_-;[Red]&quot;F&quot;\ #,##0\-"/>
    <numFmt numFmtId="190" formatCode="&quot;F&quot;\ #,##0.00_-;&quot;F&quot;\ #,##0.00\-"/>
    <numFmt numFmtId="191" formatCode="&quot;F&quot;\ #,##0.00_-;[Red]&quot;F&quot;\ #,##0.00\-"/>
    <numFmt numFmtId="192" formatCode="_-&quot;F&quot;\ * #,##0_-;_-&quot;F&quot;\ * #,##0\-;_-&quot;F&quot;\ * &quot;-&quot;_-;_-@_-"/>
    <numFmt numFmtId="193" formatCode="_-&quot;F&quot;\ * #,##0.00_-;_-&quot;F&quot;\ * #,##0.00\-;_-&quot;F&quot;\ * &quot;-&quot;??_-;_-@_-"/>
    <numFmt numFmtId="194" formatCode="#,##0;0;&quot;-&quot;"/>
    <numFmt numFmtId="195" formatCode="#,##0;\-#,##0"/>
    <numFmt numFmtId="196" formatCode="#,##0;[Red]\-#,##0"/>
    <numFmt numFmtId="197" formatCode="#,##0.00;\-#,##0.00"/>
    <numFmt numFmtId="198" formatCode="#,##0.00;[Red]\-#,##0.00"/>
    <numFmt numFmtId="199" formatCode="#,##0&quot; BF&quot;;\-#,##0&quot; BF&quot;"/>
    <numFmt numFmtId="200" formatCode="#,##0&quot; BF&quot;;[Red]\-#,##0&quot; BF&quot;"/>
    <numFmt numFmtId="201" formatCode="#,##0.00&quot; BF&quot;;\-#,##0.00&quot; BF&quot;"/>
    <numFmt numFmtId="202" formatCode="#,##0.00&quot; BF&quot;;[Red]\-#,##0.00&quot; BF&quot;"/>
    <numFmt numFmtId="203" formatCode="#,##0\ &quot;BEF&quot;;\-#,##0\ &quot;BEF&quot;"/>
    <numFmt numFmtId="204" formatCode="#,##0\ &quot;BEF&quot;;[Red]\-#,##0\ &quot;BEF&quot;"/>
    <numFmt numFmtId="205" formatCode="#,##0.00\ &quot;BEF&quot;;\-#,##0.00\ &quot;BEF&quot;"/>
    <numFmt numFmtId="206" formatCode="#,##0.00\ &quot;BEF&quot;;[Red]\-#,##0.00\ &quot;BEF&quot;"/>
    <numFmt numFmtId="207" formatCode="_-* #,##0\ &quot;BEF&quot;_-;\-* #,##0\ &quot;BEF&quot;_-;_-* &quot;-&quot;\ &quot;BEF&quot;_-;_-@_-"/>
    <numFmt numFmtId="208" formatCode="_-* #,##0\ _B_E_F_-;\-* #,##0\ _B_E_F_-;_-* &quot;-&quot;\ _B_E_F_-;_-@_-"/>
    <numFmt numFmtId="209" formatCode="_-* #,##0.00\ &quot;BEF&quot;_-;\-* #,##0.00\ &quot;BEF&quot;_-;_-* &quot;-&quot;??\ &quot;BEF&quot;_-;_-@_-"/>
    <numFmt numFmtId="210" formatCode="_-* #,##0.00\ _B_E_F_-;\-* #,##0.00\ _B_E_F_-;_-* &quot;-&quot;??\ _B_E_F_-;_-@_-"/>
    <numFmt numFmtId="211" formatCode="&quot;$&quot;#,##0.00_);[Red]\(&quot;$&quot;#,##0.00\)"/>
    <numFmt numFmtId="212" formatCode="0.0"/>
    <numFmt numFmtId="213" formatCode="0.000000"/>
    <numFmt numFmtId="214" formatCode="#,##0.0"/>
    <numFmt numFmtId="215" formatCode="0.000%"/>
    <numFmt numFmtId="216" formatCode="0.0%"/>
    <numFmt numFmtId="217" formatCode="0.0000%"/>
    <numFmt numFmtId="218" formatCode="#,##0.0;0.0;&quot;-&quot;"/>
  </numFmts>
  <fonts count="15">
    <font>
      <sz val="10"/>
      <name val="Arial"/>
      <family val="0"/>
    </font>
    <font>
      <b/>
      <sz val="10"/>
      <name val="Arial"/>
      <family val="0"/>
    </font>
    <font>
      <i/>
      <sz val="10"/>
      <name val="Arial"/>
      <family val="0"/>
    </font>
    <font>
      <b/>
      <i/>
      <sz val="10"/>
      <name val="Arial"/>
      <family val="0"/>
    </font>
    <font>
      <sz val="10"/>
      <name val="MS Sans Serif"/>
      <family val="0"/>
    </font>
    <font>
      <sz val="9"/>
      <name val="Arial"/>
      <family val="2"/>
    </font>
    <font>
      <sz val="10"/>
      <name val="Helv"/>
      <family val="0"/>
    </font>
    <font>
      <sz val="10"/>
      <name val="Optimum"/>
      <family val="0"/>
    </font>
    <font>
      <u val="single"/>
      <sz val="10"/>
      <name val="Arial"/>
      <family val="2"/>
    </font>
    <font>
      <u val="single"/>
      <sz val="10"/>
      <color indexed="12"/>
      <name val="Arial"/>
      <family val="0"/>
    </font>
    <font>
      <u val="single"/>
      <sz val="10"/>
      <color indexed="36"/>
      <name val="Arial"/>
      <family val="0"/>
    </font>
    <font>
      <b/>
      <i/>
      <u val="single"/>
      <sz val="10"/>
      <name val="Arial"/>
      <family val="2"/>
    </font>
    <font>
      <b/>
      <u val="single"/>
      <sz val="10"/>
      <name val="Arial"/>
      <family val="2"/>
    </font>
    <font>
      <sz val="8"/>
      <name val="Arial"/>
      <family val="0"/>
    </font>
    <font>
      <b/>
      <sz val="12"/>
      <name val="Arial"/>
      <family val="2"/>
    </font>
  </fonts>
  <fills count="2">
    <fill>
      <patternFill/>
    </fill>
    <fill>
      <patternFill patternType="gray125"/>
    </fill>
  </fills>
  <borders count="14">
    <border>
      <left/>
      <right/>
      <top/>
      <bottom/>
      <diagonal/>
    </border>
    <border>
      <left>
        <color indexed="63"/>
      </left>
      <right>
        <color indexed="63"/>
      </right>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style="thin"/>
      <top style="thin"/>
      <bottom>
        <color indexed="63"/>
      </bottom>
    </border>
  </borders>
  <cellStyleXfs count="4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 fontId="6" fillId="0" borderId="0" applyFont="0" applyFill="0" applyBorder="0" applyAlignment="0" applyProtection="0"/>
    <xf numFmtId="212" fontId="7" fillId="0" borderId="0" applyFont="0" applyFill="0" applyBorder="0" applyAlignment="0" applyProtection="0"/>
    <xf numFmtId="213" fontId="7" fillId="0" borderId="0" applyFont="0" applyFill="0" applyBorder="0" applyAlignment="0" applyProtection="0"/>
    <xf numFmtId="3" fontId="4" fillId="0" borderId="0" applyFont="0" applyFill="0" applyBorder="0" applyAlignment="0" applyProtection="0"/>
    <xf numFmtId="4" fontId="6"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214" fontId="4" fillId="0" borderId="0" applyFont="0" applyFill="0" applyBorder="0" applyAlignment="0" applyProtection="0"/>
    <xf numFmtId="2" fontId="4" fillId="0" borderId="0" applyFont="0" applyFill="0" applyBorder="0" applyAlignment="0" applyProtection="0"/>
    <xf numFmtId="4" fontId="6" fillId="0" borderId="0" applyFont="0" applyFill="0" applyBorder="0" applyAlignment="0" applyProtection="0"/>
    <xf numFmtId="216" fontId="4" fillId="0" borderId="0" applyFont="0" applyFill="0" applyBorder="0" applyAlignment="0" applyProtection="0"/>
    <xf numFmtId="10" fontId="4" fillId="0" borderId="0">
      <alignment/>
      <protection/>
    </xf>
    <xf numFmtId="215" fontId="4" fillId="0" borderId="0" applyFont="0" applyFill="0" applyBorder="0" applyAlignment="0" applyProtection="0"/>
    <xf numFmtId="217" fontId="7" fillId="0" borderId="0" applyFont="0" applyFill="0" applyBorder="0" applyAlignment="0" applyProtection="0"/>
    <xf numFmtId="9" fontId="0" fillId="0" borderId="0" applyFon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193" fontId="0" fillId="0" borderId="0" applyFont="0" applyFill="0" applyBorder="0" applyAlignment="0" applyProtection="0"/>
    <xf numFmtId="192" fontId="0" fillId="0" borderId="0" applyFont="0" applyFill="0" applyBorder="0" applyAlignment="0" applyProtection="0"/>
  </cellStyleXfs>
  <cellXfs count="252">
    <xf numFmtId="0" fontId="0" fillId="0" borderId="0" xfId="0" applyAlignment="1">
      <alignment/>
    </xf>
    <xf numFmtId="3" fontId="1" fillId="0" borderId="0" xfId="0" applyNumberFormat="1" applyFont="1" applyAlignment="1">
      <alignment/>
    </xf>
    <xf numFmtId="3" fontId="0" fillId="0" borderId="0" xfId="0" applyNumberFormat="1" applyFont="1" applyAlignment="1">
      <alignment/>
    </xf>
    <xf numFmtId="3" fontId="0" fillId="0" borderId="0" xfId="0" applyNumberFormat="1" applyFont="1" applyBorder="1" applyAlignment="1">
      <alignment/>
    </xf>
    <xf numFmtId="0" fontId="0" fillId="0" borderId="0" xfId="0" applyFont="1" applyAlignment="1">
      <alignment/>
    </xf>
    <xf numFmtId="3" fontId="1" fillId="0" borderId="0" xfId="0" applyNumberFormat="1" applyFont="1" applyAlignment="1">
      <alignment horizontal="centerContinuous"/>
    </xf>
    <xf numFmtId="3" fontId="0" fillId="0" borderId="0" xfId="0" applyNumberFormat="1" applyFont="1" applyAlignment="1">
      <alignment horizontal="centerContinuous"/>
    </xf>
    <xf numFmtId="0" fontId="0" fillId="0" borderId="0" xfId="0" applyFont="1" applyAlignment="1">
      <alignment horizontal="centerContinuous"/>
    </xf>
    <xf numFmtId="3" fontId="0" fillId="0" borderId="1" xfId="0" applyNumberFormat="1" applyFont="1" applyBorder="1" applyAlignment="1">
      <alignment/>
    </xf>
    <xf numFmtId="3" fontId="0" fillId="0" borderId="2" xfId="0" applyNumberFormat="1" applyFont="1" applyBorder="1" applyAlignment="1">
      <alignment horizontal="centerContinuous"/>
    </xf>
    <xf numFmtId="3" fontId="0" fillId="0" borderId="1" xfId="0" applyNumberFormat="1" applyFont="1" applyBorder="1" applyAlignment="1">
      <alignment horizontal="centerContinuous"/>
    </xf>
    <xf numFmtId="194" fontId="0" fillId="0" borderId="3" xfId="0" applyNumberFormat="1" applyFont="1" applyBorder="1" applyAlignment="1">
      <alignment/>
    </xf>
    <xf numFmtId="194" fontId="0" fillId="0" borderId="0" xfId="0" applyNumberFormat="1" applyFont="1" applyAlignment="1">
      <alignment/>
    </xf>
    <xf numFmtId="194" fontId="0" fillId="0" borderId="3" xfId="0" applyNumberFormat="1" applyFont="1" applyBorder="1" applyAlignment="1">
      <alignment horizontal="right"/>
    </xf>
    <xf numFmtId="3" fontId="1" fillId="0" borderId="0" xfId="0" applyNumberFormat="1" applyFont="1" applyBorder="1" applyAlignment="1">
      <alignment horizontal="right"/>
    </xf>
    <xf numFmtId="194" fontId="1" fillId="0" borderId="4" xfId="0" applyNumberFormat="1" applyFont="1" applyBorder="1" applyAlignment="1">
      <alignment horizontal="right"/>
    </xf>
    <xf numFmtId="194" fontId="1" fillId="0" borderId="5" xfId="0" applyNumberFormat="1" applyFont="1" applyBorder="1" applyAlignment="1">
      <alignment horizontal="right"/>
    </xf>
    <xf numFmtId="0" fontId="1" fillId="0" borderId="0" xfId="0" applyFont="1" applyAlignment="1">
      <alignment horizontal="right"/>
    </xf>
    <xf numFmtId="194" fontId="0" fillId="0" borderId="0" xfId="0" applyNumberFormat="1" applyFont="1" applyAlignment="1">
      <alignment horizontal="right"/>
    </xf>
    <xf numFmtId="3" fontId="1" fillId="0" borderId="0" xfId="0" applyNumberFormat="1" applyFont="1" applyAlignment="1">
      <alignment horizontal="right"/>
    </xf>
    <xf numFmtId="194" fontId="1" fillId="0" borderId="3" xfId="0" applyNumberFormat="1" applyFont="1" applyBorder="1" applyAlignment="1">
      <alignment horizontal="right"/>
    </xf>
    <xf numFmtId="194" fontId="1" fillId="0" borderId="0" xfId="0" applyNumberFormat="1" applyFont="1" applyBorder="1" applyAlignment="1">
      <alignment horizontal="right"/>
    </xf>
    <xf numFmtId="3" fontId="0" fillId="0" borderId="0" xfId="0" applyNumberFormat="1" applyFont="1" applyAlignment="1">
      <alignment horizontal="left"/>
    </xf>
    <xf numFmtId="194" fontId="1" fillId="0" borderId="3" xfId="0" applyNumberFormat="1" applyFont="1" applyBorder="1" applyAlignment="1">
      <alignment/>
    </xf>
    <xf numFmtId="194" fontId="1" fillId="0" borderId="0" xfId="0" applyNumberFormat="1" applyFont="1" applyBorder="1" applyAlignment="1">
      <alignment/>
    </xf>
    <xf numFmtId="194" fontId="0" fillId="0" borderId="0" xfId="0" applyNumberFormat="1" applyFont="1" applyBorder="1" applyAlignment="1">
      <alignment/>
    </xf>
    <xf numFmtId="0" fontId="1" fillId="0" borderId="0" xfId="0" applyFont="1" applyAlignment="1">
      <alignment/>
    </xf>
    <xf numFmtId="3" fontId="1" fillId="0" borderId="0" xfId="32" applyNumberFormat="1" applyFont="1">
      <alignment/>
      <protection/>
    </xf>
    <xf numFmtId="0" fontId="0" fillId="0" borderId="0" xfId="32" applyFont="1">
      <alignment/>
      <protection/>
    </xf>
    <xf numFmtId="3" fontId="0" fillId="0" borderId="0" xfId="32" applyNumberFormat="1" applyFont="1">
      <alignment/>
      <protection/>
    </xf>
    <xf numFmtId="3" fontId="1" fillId="0" borderId="0" xfId="32" applyNumberFormat="1" applyFont="1" applyAlignment="1">
      <alignment/>
      <protection/>
    </xf>
    <xf numFmtId="0" fontId="0" fillId="0" borderId="0" xfId="32" applyFont="1" applyAlignment="1">
      <alignment/>
      <protection/>
    </xf>
    <xf numFmtId="3" fontId="0" fillId="0" borderId="1" xfId="32" applyNumberFormat="1" applyFont="1" applyBorder="1">
      <alignment/>
      <protection/>
    </xf>
    <xf numFmtId="0" fontId="0" fillId="0" borderId="2" xfId="32" applyFont="1" applyBorder="1">
      <alignment/>
      <protection/>
    </xf>
    <xf numFmtId="3" fontId="0" fillId="0" borderId="6" xfId="32" applyNumberFormat="1" applyFont="1" applyBorder="1">
      <alignment/>
      <protection/>
    </xf>
    <xf numFmtId="0" fontId="0" fillId="0" borderId="3" xfId="32" applyFont="1" applyBorder="1">
      <alignment/>
      <protection/>
    </xf>
    <xf numFmtId="0" fontId="0" fillId="0" borderId="4" xfId="32" applyFont="1" applyBorder="1">
      <alignment/>
      <protection/>
    </xf>
    <xf numFmtId="194" fontId="0" fillId="0" borderId="3" xfId="32" applyNumberFormat="1" applyFont="1" applyBorder="1">
      <alignment/>
      <protection/>
    </xf>
    <xf numFmtId="3" fontId="1" fillId="0" borderId="0" xfId="32" applyNumberFormat="1" applyFont="1" applyAlignment="1">
      <alignment horizontal="right"/>
      <protection/>
    </xf>
    <xf numFmtId="194" fontId="1" fillId="0" borderId="4" xfId="32" applyNumberFormat="1" applyFont="1" applyBorder="1">
      <alignment/>
      <protection/>
    </xf>
    <xf numFmtId="0" fontId="1" fillId="0" borderId="0" xfId="32" applyFont="1">
      <alignment/>
      <protection/>
    </xf>
    <xf numFmtId="3" fontId="0" fillId="0" borderId="0" xfId="32" applyNumberFormat="1" applyFont="1" applyBorder="1">
      <alignment/>
      <protection/>
    </xf>
    <xf numFmtId="194" fontId="1" fillId="0" borderId="3" xfId="32" applyNumberFormat="1" applyFont="1" applyBorder="1">
      <alignment/>
      <protection/>
    </xf>
    <xf numFmtId="3" fontId="1" fillId="0" borderId="0" xfId="32" applyNumberFormat="1" applyFont="1" applyBorder="1">
      <alignment/>
      <protection/>
    </xf>
    <xf numFmtId="3" fontId="1" fillId="0" borderId="0" xfId="33" applyNumberFormat="1" applyFont="1">
      <alignment/>
      <protection/>
    </xf>
    <xf numFmtId="0" fontId="0" fillId="0" borderId="0" xfId="33" applyFont="1">
      <alignment/>
      <protection/>
    </xf>
    <xf numFmtId="3" fontId="0" fillId="0" borderId="0" xfId="33" applyNumberFormat="1" applyFont="1">
      <alignment/>
      <protection/>
    </xf>
    <xf numFmtId="3" fontId="1" fillId="0" borderId="0" xfId="33" applyNumberFormat="1" applyFont="1" applyAlignment="1">
      <alignment/>
      <protection/>
    </xf>
    <xf numFmtId="0" fontId="0" fillId="0" borderId="0" xfId="33" applyFont="1" applyAlignment="1">
      <alignment/>
      <protection/>
    </xf>
    <xf numFmtId="3" fontId="0" fillId="0" borderId="1" xfId="33" applyNumberFormat="1" applyFont="1" applyBorder="1">
      <alignment/>
      <protection/>
    </xf>
    <xf numFmtId="0" fontId="0" fillId="0" borderId="2" xfId="33" applyFont="1" applyBorder="1">
      <alignment/>
      <protection/>
    </xf>
    <xf numFmtId="3" fontId="0" fillId="0" borderId="6" xfId="33" applyNumberFormat="1" applyFont="1" applyBorder="1">
      <alignment/>
      <protection/>
    </xf>
    <xf numFmtId="0" fontId="0" fillId="0" borderId="3" xfId="33" applyFont="1" applyBorder="1">
      <alignment/>
      <protection/>
    </xf>
    <xf numFmtId="0" fontId="0" fillId="0" borderId="4" xfId="33" applyFont="1" applyBorder="1">
      <alignment/>
      <protection/>
    </xf>
    <xf numFmtId="194" fontId="0" fillId="0" borderId="3" xfId="33" applyNumberFormat="1" applyFont="1" applyBorder="1">
      <alignment/>
      <protection/>
    </xf>
    <xf numFmtId="3" fontId="1" fillId="0" borderId="0" xfId="33" applyNumberFormat="1" applyFont="1" applyAlignment="1">
      <alignment horizontal="right"/>
      <protection/>
    </xf>
    <xf numFmtId="194" fontId="1" fillId="0" borderId="4" xfId="33" applyNumberFormat="1" applyFont="1" applyBorder="1">
      <alignment/>
      <protection/>
    </xf>
    <xf numFmtId="0" fontId="1" fillId="0" borderId="0" xfId="33" applyFont="1">
      <alignment/>
      <protection/>
    </xf>
    <xf numFmtId="3" fontId="0" fillId="0" borderId="0" xfId="33" applyNumberFormat="1" applyFont="1" applyBorder="1">
      <alignment/>
      <protection/>
    </xf>
    <xf numFmtId="3" fontId="1" fillId="0" borderId="0" xfId="33" applyNumberFormat="1" applyFont="1" applyBorder="1">
      <alignment/>
      <protection/>
    </xf>
    <xf numFmtId="0" fontId="5" fillId="0" borderId="0" xfId="33" applyFont="1">
      <alignment/>
      <protection/>
    </xf>
    <xf numFmtId="194" fontId="0" fillId="0" borderId="0" xfId="0" applyNumberFormat="1" applyFont="1" applyAlignment="1">
      <alignment horizontal="centerContinuous"/>
    </xf>
    <xf numFmtId="194" fontId="1" fillId="0" borderId="0" xfId="0" applyNumberFormat="1" applyFont="1" applyAlignment="1">
      <alignment horizontal="centerContinuous"/>
    </xf>
    <xf numFmtId="3" fontId="0" fillId="0" borderId="1" xfId="0" applyNumberFormat="1" applyFont="1" applyBorder="1" applyAlignment="1">
      <alignment horizontal="center"/>
    </xf>
    <xf numFmtId="194" fontId="0" fillId="0" borderId="2" xfId="0" applyNumberFormat="1" applyFont="1" applyBorder="1" applyAlignment="1">
      <alignment horizontal="centerContinuous"/>
    </xf>
    <xf numFmtId="194" fontId="0" fillId="0" borderId="1" xfId="0" applyNumberFormat="1" applyFont="1" applyBorder="1" applyAlignment="1">
      <alignment horizontal="centerContinuous"/>
    </xf>
    <xf numFmtId="3" fontId="0" fillId="0" borderId="6" xfId="0" applyNumberFormat="1" applyFont="1" applyBorder="1" applyAlignment="1">
      <alignment horizontal="center"/>
    </xf>
    <xf numFmtId="194" fontId="0" fillId="0" borderId="7" xfId="0" applyNumberFormat="1" applyFont="1" applyBorder="1" applyAlignment="1">
      <alignment horizontal="centerContinuous"/>
    </xf>
    <xf numFmtId="194" fontId="0" fillId="0" borderId="8" xfId="0" applyNumberFormat="1" applyFont="1" applyBorder="1" applyAlignment="1">
      <alignment horizontal="centerContinuous"/>
    </xf>
    <xf numFmtId="3" fontId="0" fillId="0" borderId="0" xfId="0" applyNumberFormat="1" applyFont="1" applyBorder="1" applyAlignment="1">
      <alignment horizontal="right"/>
    </xf>
    <xf numFmtId="194" fontId="0" fillId="0" borderId="0" xfId="0" applyNumberFormat="1" applyFont="1" applyBorder="1" applyAlignment="1">
      <alignment horizontal="right"/>
    </xf>
    <xf numFmtId="194" fontId="0" fillId="0" borderId="6" xfId="0" applyNumberFormat="1" applyFont="1" applyBorder="1" applyAlignment="1">
      <alignment/>
    </xf>
    <xf numFmtId="194" fontId="1" fillId="0" borderId="4" xfId="0" applyNumberFormat="1" applyFont="1" applyBorder="1" applyAlignment="1">
      <alignment/>
    </xf>
    <xf numFmtId="194" fontId="1" fillId="0" borderId="5" xfId="0" applyNumberFormat="1" applyFont="1" applyBorder="1" applyAlignment="1">
      <alignment/>
    </xf>
    <xf numFmtId="3" fontId="1" fillId="0" borderId="0" xfId="35" applyNumberFormat="1" applyFont="1">
      <alignment/>
      <protection/>
    </xf>
    <xf numFmtId="3" fontId="0" fillId="0" borderId="0" xfId="35" applyNumberFormat="1" applyFont="1">
      <alignment/>
      <protection/>
    </xf>
    <xf numFmtId="3" fontId="0" fillId="0" borderId="0" xfId="35" applyNumberFormat="1" applyFont="1" applyBorder="1">
      <alignment/>
      <protection/>
    </xf>
    <xf numFmtId="0" fontId="0" fillId="0" borderId="0" xfId="35" applyFont="1">
      <alignment/>
      <protection/>
    </xf>
    <xf numFmtId="3" fontId="1" fillId="0" borderId="0" xfId="35" applyNumberFormat="1" applyFont="1" applyAlignment="1">
      <alignment horizontal="centerContinuous"/>
      <protection/>
    </xf>
    <xf numFmtId="3" fontId="0" fillId="0" borderId="0" xfId="35" applyNumberFormat="1" applyFont="1" applyAlignment="1">
      <alignment horizontal="centerContinuous"/>
      <protection/>
    </xf>
    <xf numFmtId="3" fontId="0" fillId="0" borderId="0" xfId="35" applyNumberFormat="1" applyFont="1" applyBorder="1" applyAlignment="1">
      <alignment horizontal="centerContinuous"/>
      <protection/>
    </xf>
    <xf numFmtId="0" fontId="0" fillId="0" borderId="0" xfId="35" applyFont="1" applyAlignment="1">
      <alignment horizontal="centerContinuous"/>
      <protection/>
    </xf>
    <xf numFmtId="3" fontId="0" fillId="0" borderId="1" xfId="35" applyNumberFormat="1" applyFont="1" applyBorder="1">
      <alignment/>
      <protection/>
    </xf>
    <xf numFmtId="3" fontId="0" fillId="0" borderId="6" xfId="35" applyNumberFormat="1" applyFont="1" applyBorder="1">
      <alignment/>
      <protection/>
    </xf>
    <xf numFmtId="3" fontId="1" fillId="0" borderId="3" xfId="35" applyNumberFormat="1" applyFont="1" applyBorder="1">
      <alignment/>
      <protection/>
    </xf>
    <xf numFmtId="3" fontId="0" fillId="0" borderId="3" xfId="35" applyNumberFormat="1" applyFont="1" applyBorder="1">
      <alignment/>
      <protection/>
    </xf>
    <xf numFmtId="194" fontId="0" fillId="0" borderId="3" xfId="35" applyNumberFormat="1" applyFont="1" applyBorder="1">
      <alignment/>
      <protection/>
    </xf>
    <xf numFmtId="194" fontId="0" fillId="0" borderId="0" xfId="35" applyNumberFormat="1" applyFont="1">
      <alignment/>
      <protection/>
    </xf>
    <xf numFmtId="194" fontId="0" fillId="0" borderId="3" xfId="35" applyNumberFormat="1" applyFont="1" applyBorder="1" applyAlignment="1">
      <alignment horizontal="right"/>
      <protection/>
    </xf>
    <xf numFmtId="3" fontId="1" fillId="0" borderId="0" xfId="35" applyNumberFormat="1" applyFont="1" applyAlignment="1">
      <alignment horizontal="right"/>
      <protection/>
    </xf>
    <xf numFmtId="194" fontId="1" fillId="0" borderId="4" xfId="35" applyNumberFormat="1" applyFont="1" applyBorder="1">
      <alignment/>
      <protection/>
    </xf>
    <xf numFmtId="194" fontId="1" fillId="0" borderId="5" xfId="35" applyNumberFormat="1" applyFont="1" applyBorder="1">
      <alignment/>
      <protection/>
    </xf>
    <xf numFmtId="194" fontId="0" fillId="0" borderId="0" xfId="35" applyNumberFormat="1" applyFont="1" applyAlignment="1">
      <alignment horizontal="right"/>
      <protection/>
    </xf>
    <xf numFmtId="194" fontId="1" fillId="0" borderId="3" xfId="35" applyNumberFormat="1" applyFont="1" applyBorder="1">
      <alignment/>
      <protection/>
    </xf>
    <xf numFmtId="194" fontId="1" fillId="0" borderId="0" xfId="35" applyNumberFormat="1" applyFont="1" applyBorder="1">
      <alignment/>
      <protection/>
    </xf>
    <xf numFmtId="0" fontId="0" fillId="0" borderId="0" xfId="35" applyFont="1" applyBorder="1">
      <alignment/>
      <protection/>
    </xf>
    <xf numFmtId="3" fontId="1" fillId="0" borderId="0" xfId="36" applyNumberFormat="1" applyFont="1">
      <alignment/>
      <protection/>
    </xf>
    <xf numFmtId="3" fontId="0" fillId="0" borderId="0" xfId="36" applyNumberFormat="1" applyFont="1">
      <alignment/>
      <protection/>
    </xf>
    <xf numFmtId="3" fontId="0" fillId="0" borderId="0" xfId="36" applyNumberFormat="1" applyFont="1" applyBorder="1">
      <alignment/>
      <protection/>
    </xf>
    <xf numFmtId="0" fontId="0" fillId="0" borderId="0" xfId="36" applyFont="1">
      <alignment/>
      <protection/>
    </xf>
    <xf numFmtId="3" fontId="1" fillId="0" borderId="0" xfId="36" applyNumberFormat="1" applyFont="1" applyAlignment="1">
      <alignment horizontal="centerContinuous"/>
      <protection/>
    </xf>
    <xf numFmtId="3" fontId="0" fillId="0" borderId="0" xfId="36" applyNumberFormat="1" applyFont="1" applyAlignment="1">
      <alignment horizontal="centerContinuous"/>
      <protection/>
    </xf>
    <xf numFmtId="3" fontId="0" fillId="0" borderId="0" xfId="36" applyNumberFormat="1" applyFont="1" applyBorder="1" applyAlignment="1">
      <alignment horizontal="centerContinuous"/>
      <protection/>
    </xf>
    <xf numFmtId="0" fontId="0" fillId="0" borderId="0" xfId="36" applyFont="1" applyAlignment="1">
      <alignment horizontal="centerContinuous"/>
      <protection/>
    </xf>
    <xf numFmtId="3" fontId="0" fillId="0" borderId="1" xfId="36" applyNumberFormat="1" applyFont="1" applyBorder="1">
      <alignment/>
      <protection/>
    </xf>
    <xf numFmtId="3" fontId="0" fillId="0" borderId="2" xfId="36" applyNumberFormat="1" applyFont="1" applyBorder="1" applyAlignment="1">
      <alignment horizontal="centerContinuous"/>
      <protection/>
    </xf>
    <xf numFmtId="3" fontId="0" fillId="0" borderId="1" xfId="36" applyNumberFormat="1" applyFont="1" applyBorder="1" applyAlignment="1">
      <alignment horizontal="centerContinuous"/>
      <protection/>
    </xf>
    <xf numFmtId="3" fontId="0" fillId="0" borderId="4" xfId="36" applyNumberFormat="1" applyFont="1" applyBorder="1" applyAlignment="1">
      <alignment horizontal="centerContinuous"/>
      <protection/>
    </xf>
    <xf numFmtId="3" fontId="0" fillId="0" borderId="5" xfId="36" applyNumberFormat="1" applyFont="1" applyBorder="1" applyAlignment="1">
      <alignment horizontal="centerContinuous"/>
      <protection/>
    </xf>
    <xf numFmtId="3" fontId="1" fillId="0" borderId="3" xfId="36" applyNumberFormat="1" applyFont="1" applyBorder="1">
      <alignment/>
      <protection/>
    </xf>
    <xf numFmtId="3" fontId="0" fillId="0" borderId="3" xfId="36" applyNumberFormat="1" applyFont="1" applyBorder="1">
      <alignment/>
      <protection/>
    </xf>
    <xf numFmtId="194" fontId="0" fillId="0" borderId="3" xfId="36" applyNumberFormat="1" applyFont="1" applyBorder="1">
      <alignment/>
      <protection/>
    </xf>
    <xf numFmtId="194" fontId="0" fillId="0" borderId="0" xfId="36" applyNumberFormat="1" applyFont="1">
      <alignment/>
      <protection/>
    </xf>
    <xf numFmtId="194" fontId="0" fillId="0" borderId="3" xfId="36" applyNumberFormat="1" applyFont="1" applyBorder="1" applyAlignment="1">
      <alignment horizontal="right"/>
      <protection/>
    </xf>
    <xf numFmtId="3" fontId="1" fillId="0" borderId="0" xfId="34" applyNumberFormat="1" applyFont="1">
      <alignment/>
      <protection/>
    </xf>
    <xf numFmtId="0" fontId="0" fillId="0" borderId="0" xfId="34" applyFont="1">
      <alignment/>
      <protection/>
    </xf>
    <xf numFmtId="3" fontId="0" fillId="0" borderId="0" xfId="34" applyNumberFormat="1" applyFont="1">
      <alignment/>
      <protection/>
    </xf>
    <xf numFmtId="3" fontId="1" fillId="0" borderId="0" xfId="34" applyNumberFormat="1" applyFont="1" applyAlignment="1">
      <alignment/>
      <protection/>
    </xf>
    <xf numFmtId="0" fontId="0" fillId="0" borderId="0" xfId="34" applyFont="1" applyAlignment="1">
      <alignment/>
      <protection/>
    </xf>
    <xf numFmtId="3" fontId="0" fillId="0" borderId="1" xfId="34" applyNumberFormat="1" applyFont="1" applyBorder="1">
      <alignment/>
      <protection/>
    </xf>
    <xf numFmtId="0" fontId="0" fillId="0" borderId="2" xfId="34" applyFont="1" applyBorder="1">
      <alignment/>
      <protection/>
    </xf>
    <xf numFmtId="3" fontId="0" fillId="0" borderId="6" xfId="34" applyNumberFormat="1" applyFont="1" applyBorder="1">
      <alignment/>
      <protection/>
    </xf>
    <xf numFmtId="0" fontId="0" fillId="0" borderId="3" xfId="34" applyFont="1" applyBorder="1">
      <alignment/>
      <protection/>
    </xf>
    <xf numFmtId="0" fontId="0" fillId="0" borderId="4" xfId="34" applyFont="1" applyBorder="1">
      <alignment/>
      <protection/>
    </xf>
    <xf numFmtId="194" fontId="0" fillId="0" borderId="3" xfId="34" applyNumberFormat="1" applyFont="1" applyBorder="1">
      <alignment/>
      <protection/>
    </xf>
    <xf numFmtId="3" fontId="1" fillId="0" borderId="0" xfId="34" applyNumberFormat="1" applyFont="1" applyAlignment="1">
      <alignment horizontal="right"/>
      <protection/>
    </xf>
    <xf numFmtId="194" fontId="1" fillId="0" borderId="4" xfId="34" applyNumberFormat="1" applyFont="1" applyBorder="1">
      <alignment/>
      <protection/>
    </xf>
    <xf numFmtId="0" fontId="1" fillId="0" borderId="0" xfId="34" applyFont="1">
      <alignment/>
      <protection/>
    </xf>
    <xf numFmtId="3" fontId="0" fillId="0" borderId="0" xfId="34" applyNumberFormat="1" applyFont="1" applyBorder="1">
      <alignment/>
      <protection/>
    </xf>
    <xf numFmtId="194" fontId="1" fillId="0" borderId="3" xfId="34" applyNumberFormat="1" applyFont="1" applyBorder="1">
      <alignment/>
      <protection/>
    </xf>
    <xf numFmtId="3" fontId="1" fillId="0" borderId="0" xfId="34" applyNumberFormat="1" applyFont="1" applyBorder="1">
      <alignment/>
      <protection/>
    </xf>
    <xf numFmtId="3" fontId="0" fillId="0" borderId="0" xfId="0" applyNumberFormat="1" applyFont="1" applyBorder="1" applyAlignment="1">
      <alignment horizontal="centerContinuous"/>
    </xf>
    <xf numFmtId="0" fontId="0" fillId="0" borderId="0" xfId="0" applyFont="1" applyBorder="1" applyAlignment="1">
      <alignment/>
    </xf>
    <xf numFmtId="3" fontId="1" fillId="0" borderId="0" xfId="37" applyNumberFormat="1" applyFont="1">
      <alignment/>
      <protection/>
    </xf>
    <xf numFmtId="0" fontId="0" fillId="0" borderId="0" xfId="37" applyFont="1">
      <alignment/>
      <protection/>
    </xf>
    <xf numFmtId="3" fontId="0" fillId="0" borderId="0" xfId="37" applyNumberFormat="1" applyFont="1">
      <alignment/>
      <protection/>
    </xf>
    <xf numFmtId="3" fontId="1" fillId="0" borderId="0" xfId="37" applyNumberFormat="1" applyFont="1" applyAlignment="1">
      <alignment/>
      <protection/>
    </xf>
    <xf numFmtId="0" fontId="0" fillId="0" borderId="0" xfId="37" applyFont="1" applyAlignment="1">
      <alignment/>
      <protection/>
    </xf>
    <xf numFmtId="3" fontId="0" fillId="0" borderId="1" xfId="37" applyNumberFormat="1" applyFont="1" applyBorder="1">
      <alignment/>
      <protection/>
    </xf>
    <xf numFmtId="0" fontId="0" fillId="0" borderId="2" xfId="37" applyFont="1" applyBorder="1">
      <alignment/>
      <protection/>
    </xf>
    <xf numFmtId="3" fontId="0" fillId="0" borderId="0" xfId="37" applyNumberFormat="1" applyFont="1" applyBorder="1" applyAlignment="1">
      <alignment horizontal="center"/>
      <protection/>
    </xf>
    <xf numFmtId="0" fontId="0" fillId="0" borderId="3" xfId="37" applyFont="1" applyBorder="1" applyAlignment="1">
      <alignment horizontal="center"/>
      <protection/>
    </xf>
    <xf numFmtId="0" fontId="0" fillId="0" borderId="0" xfId="37" applyFont="1" applyAlignment="1">
      <alignment horizontal="center"/>
      <protection/>
    </xf>
    <xf numFmtId="3" fontId="0" fillId="0" borderId="6" xfId="37" applyNumberFormat="1" applyFont="1" applyBorder="1">
      <alignment/>
      <protection/>
    </xf>
    <xf numFmtId="0" fontId="0" fillId="0" borderId="3" xfId="37" applyFont="1" applyBorder="1">
      <alignment/>
      <protection/>
    </xf>
    <xf numFmtId="0" fontId="0" fillId="0" borderId="4" xfId="37" applyFont="1" applyBorder="1">
      <alignment/>
      <protection/>
    </xf>
    <xf numFmtId="194" fontId="0" fillId="0" borderId="3" xfId="37" applyNumberFormat="1" applyFont="1" applyBorder="1">
      <alignment/>
      <protection/>
    </xf>
    <xf numFmtId="3" fontId="1" fillId="0" borderId="0" xfId="37" applyNumberFormat="1" applyFont="1" applyAlignment="1">
      <alignment horizontal="right"/>
      <protection/>
    </xf>
    <xf numFmtId="194" fontId="1" fillId="0" borderId="4" xfId="37" applyNumberFormat="1" applyFont="1" applyBorder="1">
      <alignment/>
      <protection/>
    </xf>
    <xf numFmtId="0" fontId="1" fillId="0" borderId="0" xfId="37" applyFont="1">
      <alignment/>
      <protection/>
    </xf>
    <xf numFmtId="3" fontId="0" fillId="0" borderId="0" xfId="37" applyNumberFormat="1" applyFont="1" applyBorder="1">
      <alignment/>
      <protection/>
    </xf>
    <xf numFmtId="194" fontId="1" fillId="0" borderId="3" xfId="37" applyNumberFormat="1" applyFont="1" applyBorder="1">
      <alignment/>
      <protection/>
    </xf>
    <xf numFmtId="3" fontId="1" fillId="0" borderId="0" xfId="37" applyNumberFormat="1" applyFont="1" applyBorder="1">
      <alignment/>
      <protection/>
    </xf>
    <xf numFmtId="3" fontId="0" fillId="0" borderId="2" xfId="35" applyNumberFormat="1" applyFont="1" applyBorder="1" applyAlignment="1">
      <alignment horizontal="centerContinuous" vertical="center"/>
      <protection/>
    </xf>
    <xf numFmtId="3" fontId="0" fillId="0" borderId="1" xfId="35" applyNumberFormat="1" applyFont="1" applyBorder="1" applyAlignment="1">
      <alignment horizontal="centerContinuous" vertical="center"/>
      <protection/>
    </xf>
    <xf numFmtId="3" fontId="0" fillId="0" borderId="4" xfId="35" applyNumberFormat="1" applyFont="1" applyBorder="1" applyAlignment="1">
      <alignment horizontal="centerContinuous" vertical="center"/>
      <protection/>
    </xf>
    <xf numFmtId="3" fontId="0" fillId="0" borderId="5" xfId="35" applyNumberFormat="1" applyFont="1" applyBorder="1" applyAlignment="1">
      <alignment horizontal="centerContinuous" vertical="center"/>
      <protection/>
    </xf>
    <xf numFmtId="3" fontId="0" fillId="0" borderId="2" xfId="0" applyNumberFormat="1" applyFont="1" applyBorder="1" applyAlignment="1">
      <alignment horizontal="centerContinuous" vertical="center"/>
    </xf>
    <xf numFmtId="3" fontId="0" fillId="0" borderId="1" xfId="0" applyNumberFormat="1" applyFont="1" applyBorder="1" applyAlignment="1">
      <alignment horizontal="centerContinuous" vertical="center"/>
    </xf>
    <xf numFmtId="3" fontId="0" fillId="0" borderId="4" xfId="0" applyNumberFormat="1" applyFont="1" applyBorder="1" applyAlignment="1">
      <alignment horizontal="centerContinuous" vertical="center"/>
    </xf>
    <xf numFmtId="3" fontId="0" fillId="0" borderId="5" xfId="0" applyNumberFormat="1" applyFont="1" applyBorder="1" applyAlignment="1">
      <alignment horizontal="centerContinuous" vertical="center"/>
    </xf>
    <xf numFmtId="0" fontId="0" fillId="0" borderId="0" xfId="0" applyFont="1" applyAlignment="1">
      <alignment horizontal="center"/>
    </xf>
    <xf numFmtId="194" fontId="0" fillId="0" borderId="7" xfId="0" applyNumberFormat="1" applyFont="1" applyBorder="1" applyAlignment="1">
      <alignment horizontal="center"/>
    </xf>
    <xf numFmtId="194" fontId="0" fillId="0" borderId="8" xfId="0" applyNumberFormat="1" applyFont="1" applyBorder="1" applyAlignment="1">
      <alignment horizontal="center"/>
    </xf>
    <xf numFmtId="3" fontId="0" fillId="0" borderId="6" xfId="36" applyNumberFormat="1" applyFont="1" applyBorder="1" applyAlignment="1">
      <alignment horizontal="center"/>
      <protection/>
    </xf>
    <xf numFmtId="0" fontId="0" fillId="0" borderId="0" xfId="36" applyFont="1" applyAlignment="1">
      <alignment horizontal="center"/>
      <protection/>
    </xf>
    <xf numFmtId="194" fontId="1" fillId="0" borderId="9" xfId="35" applyNumberFormat="1" applyFont="1" applyBorder="1">
      <alignment/>
      <protection/>
    </xf>
    <xf numFmtId="194" fontId="1" fillId="0" borderId="4" xfId="33" applyNumberFormat="1" applyFont="1" applyBorder="1">
      <alignment/>
      <protection/>
    </xf>
    <xf numFmtId="194" fontId="0" fillId="0" borderId="0" xfId="36" applyNumberFormat="1" applyFont="1" applyBorder="1">
      <alignment/>
      <protection/>
    </xf>
    <xf numFmtId="194" fontId="0" fillId="0" borderId="0" xfId="36" applyNumberFormat="1" applyFont="1" applyBorder="1" applyAlignment="1">
      <alignment horizontal="right"/>
      <protection/>
    </xf>
    <xf numFmtId="194" fontId="0" fillId="0" borderId="0" xfId="35" applyNumberFormat="1" applyFont="1">
      <alignment/>
      <protection/>
    </xf>
    <xf numFmtId="194" fontId="1" fillId="0" borderId="3" xfId="0" applyNumberFormat="1" applyFont="1" applyBorder="1" applyAlignment="1">
      <alignment/>
    </xf>
    <xf numFmtId="194" fontId="1" fillId="0" borderId="0" xfId="0" applyNumberFormat="1" applyFont="1" applyAlignment="1">
      <alignment/>
    </xf>
    <xf numFmtId="194" fontId="1" fillId="0" borderId="0" xfId="0" applyNumberFormat="1" applyFont="1" applyBorder="1" applyAlignment="1">
      <alignment horizontal="right"/>
    </xf>
    <xf numFmtId="194" fontId="1" fillId="0" borderId="3" xfId="0" applyNumberFormat="1" applyFont="1" applyBorder="1" applyAlignment="1">
      <alignment horizontal="right"/>
    </xf>
    <xf numFmtId="0" fontId="4" fillId="0" borderId="5" xfId="32" applyBorder="1">
      <alignment/>
      <protection/>
    </xf>
    <xf numFmtId="194" fontId="0" fillId="0" borderId="4" xfId="32" applyNumberFormat="1" applyFont="1" applyBorder="1">
      <alignment/>
      <protection/>
    </xf>
    <xf numFmtId="0" fontId="4" fillId="0" borderId="0" xfId="33" applyBorder="1">
      <alignment/>
      <protection/>
    </xf>
    <xf numFmtId="3" fontId="1" fillId="0" borderId="6" xfId="33" applyNumberFormat="1" applyFont="1" applyBorder="1" applyAlignment="1">
      <alignment horizontal="right"/>
      <protection/>
    </xf>
    <xf numFmtId="194" fontId="1" fillId="0" borderId="7" xfId="33" applyNumberFormat="1" applyFont="1" applyBorder="1">
      <alignment/>
      <protection/>
    </xf>
    <xf numFmtId="0" fontId="5" fillId="0" borderId="0" xfId="0" applyFont="1" applyAlignment="1">
      <alignment/>
    </xf>
    <xf numFmtId="3" fontId="0" fillId="0" borderId="7" xfId="0" applyNumberFormat="1" applyFont="1" applyBorder="1" applyAlignment="1">
      <alignment horizontal="center"/>
    </xf>
    <xf numFmtId="3" fontId="0" fillId="0" borderId="8" xfId="0" applyNumberFormat="1" applyFont="1" applyBorder="1" applyAlignment="1">
      <alignment horizontal="center"/>
    </xf>
    <xf numFmtId="3" fontId="0" fillId="0" borderId="7" xfId="35" applyNumberFormat="1" applyFont="1" applyBorder="1" applyAlignment="1">
      <alignment horizontal="right" vertical="center"/>
      <protection/>
    </xf>
    <xf numFmtId="3" fontId="0" fillId="0" borderId="8" xfId="35" applyNumberFormat="1" applyFont="1" applyBorder="1" applyAlignment="1">
      <alignment horizontal="right" vertical="center"/>
      <protection/>
    </xf>
    <xf numFmtId="3" fontId="0" fillId="0" borderId="7" xfId="36" applyNumberFormat="1" applyFont="1" applyBorder="1" applyAlignment="1">
      <alignment horizontal="center"/>
      <protection/>
    </xf>
    <xf numFmtId="3" fontId="0" fillId="0" borderId="8" xfId="36" applyNumberFormat="1" applyFont="1" applyBorder="1" applyAlignment="1">
      <alignment horizontal="center"/>
      <protection/>
    </xf>
    <xf numFmtId="3" fontId="0" fillId="0" borderId="7" xfId="0" applyNumberFormat="1" applyFont="1" applyBorder="1" applyAlignment="1">
      <alignment horizontal="center" vertical="center"/>
    </xf>
    <xf numFmtId="3" fontId="0" fillId="0" borderId="8" xfId="0" applyNumberFormat="1" applyFont="1" applyBorder="1" applyAlignment="1">
      <alignment horizontal="center" vertical="center"/>
    </xf>
    <xf numFmtId="0" fontId="5" fillId="0" borderId="0" xfId="37" applyFont="1">
      <alignment/>
      <protection/>
    </xf>
    <xf numFmtId="3" fontId="5" fillId="0" borderId="0" xfId="36" applyNumberFormat="1" applyFont="1">
      <alignment/>
      <protection/>
    </xf>
    <xf numFmtId="0" fontId="5" fillId="0" borderId="0" xfId="0" applyFont="1" applyAlignment="1">
      <alignment/>
    </xf>
    <xf numFmtId="0" fontId="4" fillId="0" borderId="5" xfId="34" applyBorder="1">
      <alignment/>
      <protection/>
    </xf>
    <xf numFmtId="194" fontId="0" fillId="0" borderId="4" xfId="34" applyNumberFormat="1" applyFont="1" applyBorder="1">
      <alignment/>
      <protection/>
    </xf>
    <xf numFmtId="0" fontId="4" fillId="0" borderId="5" xfId="37" applyBorder="1">
      <alignment/>
      <protection/>
    </xf>
    <xf numFmtId="194" fontId="0" fillId="0" borderId="4" xfId="37" applyNumberFormat="1" applyFont="1" applyBorder="1">
      <alignment/>
      <protection/>
    </xf>
    <xf numFmtId="194" fontId="0" fillId="0" borderId="9" xfId="0" applyNumberFormat="1" applyFont="1" applyBorder="1" applyAlignment="1">
      <alignment/>
    </xf>
    <xf numFmtId="194" fontId="0" fillId="0" borderId="10" xfId="0" applyNumberFormat="1" applyFont="1" applyBorder="1" applyAlignment="1">
      <alignment/>
    </xf>
    <xf numFmtId="194" fontId="0" fillId="0" borderId="9" xfId="0" applyNumberFormat="1" applyFont="1" applyBorder="1" applyAlignment="1">
      <alignment horizontal="right"/>
    </xf>
    <xf numFmtId="194" fontId="0" fillId="0" borderId="3" xfId="0" applyNumberFormat="1" applyBorder="1" applyAlignment="1">
      <alignment/>
    </xf>
    <xf numFmtId="194" fontId="0" fillId="0" borderId="0" xfId="0" applyNumberFormat="1" applyBorder="1" applyAlignment="1">
      <alignment/>
    </xf>
    <xf numFmtId="194" fontId="0" fillId="0" borderId="0" xfId="0" applyNumberFormat="1" applyAlignment="1">
      <alignment/>
    </xf>
    <xf numFmtId="194" fontId="0" fillId="0" borderId="11" xfId="0" applyNumberFormat="1" applyBorder="1" applyAlignment="1">
      <alignment/>
    </xf>
    <xf numFmtId="194" fontId="0" fillId="0" borderId="6" xfId="0" applyNumberFormat="1" applyBorder="1" applyAlignment="1">
      <alignment/>
    </xf>
    <xf numFmtId="3" fontId="0" fillId="0" borderId="6" xfId="0" applyNumberFormat="1" applyFont="1" applyBorder="1" applyAlignment="1">
      <alignment horizontal="left"/>
    </xf>
    <xf numFmtId="3" fontId="1" fillId="0" borderId="9" xfId="35" applyNumberFormat="1" applyFont="1" applyBorder="1">
      <alignment/>
      <protection/>
    </xf>
    <xf numFmtId="194" fontId="0" fillId="0" borderId="9" xfId="35" applyNumberFormat="1" applyFont="1" applyBorder="1">
      <alignment/>
      <protection/>
    </xf>
    <xf numFmtId="0" fontId="1" fillId="0" borderId="9" xfId="35" applyFont="1" applyBorder="1" applyAlignment="1">
      <alignment horizontal="right"/>
      <protection/>
    </xf>
    <xf numFmtId="194" fontId="0" fillId="0" borderId="0" xfId="35" applyNumberFormat="1" applyFont="1" applyBorder="1">
      <alignment/>
      <protection/>
    </xf>
    <xf numFmtId="0" fontId="1" fillId="0" borderId="0" xfId="0" applyFont="1" applyBorder="1" applyAlignment="1">
      <alignment horizontal="right"/>
    </xf>
    <xf numFmtId="3" fontId="1" fillId="0" borderId="0" xfId="0" applyNumberFormat="1" applyFont="1" applyAlignment="1">
      <alignment horizontal="left"/>
    </xf>
    <xf numFmtId="3" fontId="1" fillId="0" borderId="0" xfId="0" applyNumberFormat="1" applyFont="1" applyAlignment="1">
      <alignment horizontal="right" wrapText="1" shrinkToFit="1"/>
    </xf>
    <xf numFmtId="194" fontId="1" fillId="0" borderId="9" xfId="0" applyNumberFormat="1" applyFont="1" applyBorder="1" applyAlignment="1">
      <alignment/>
    </xf>
    <xf numFmtId="3" fontId="1" fillId="0" borderId="0" xfId="32" applyNumberFormat="1" applyFont="1" applyAlignment="1">
      <alignment horizontal="left"/>
      <protection/>
    </xf>
    <xf numFmtId="194" fontId="0" fillId="0" borderId="0" xfId="32" applyNumberFormat="1" applyFont="1" applyBorder="1">
      <alignment/>
      <protection/>
    </xf>
    <xf numFmtId="194" fontId="0" fillId="0" borderId="9" xfId="32" applyNumberFormat="1" applyFont="1" applyBorder="1">
      <alignment/>
      <protection/>
    </xf>
    <xf numFmtId="194" fontId="1" fillId="0" borderId="3" xfId="33" applyNumberFormat="1" applyFont="1" applyBorder="1">
      <alignment/>
      <protection/>
    </xf>
    <xf numFmtId="3" fontId="1" fillId="0" borderId="0" xfId="35" applyNumberFormat="1" applyFont="1" applyAlignment="1">
      <alignment horizontal="right" wrapText="1" shrinkToFit="1"/>
      <protection/>
    </xf>
    <xf numFmtId="3" fontId="1" fillId="0" borderId="9" xfId="35" applyNumberFormat="1" applyFont="1" applyBorder="1" applyAlignment="1">
      <alignment horizontal="right" wrapText="1" shrinkToFit="1"/>
      <protection/>
    </xf>
    <xf numFmtId="194" fontId="0" fillId="0" borderId="9" xfId="36" applyNumberFormat="1" applyFont="1" applyBorder="1">
      <alignment/>
      <protection/>
    </xf>
    <xf numFmtId="0" fontId="1" fillId="0" borderId="0" xfId="0" applyFont="1" applyBorder="1" applyAlignment="1">
      <alignment horizontal="right" wrapText="1" shrinkToFit="1"/>
    </xf>
    <xf numFmtId="194" fontId="1" fillId="0" borderId="12" xfId="0" applyNumberFormat="1" applyFont="1" applyBorder="1" applyAlignment="1">
      <alignment/>
    </xf>
    <xf numFmtId="194" fontId="1" fillId="0" borderId="12" xfId="0" applyNumberFormat="1" applyFont="1" applyBorder="1" applyAlignment="1">
      <alignment horizontal="right"/>
    </xf>
    <xf numFmtId="3" fontId="0" fillId="0" borderId="9" xfId="0" applyNumberFormat="1" applyFont="1" applyBorder="1" applyAlignment="1">
      <alignment horizontal="left"/>
    </xf>
    <xf numFmtId="0" fontId="4" fillId="0" borderId="0" xfId="32" applyBorder="1">
      <alignment/>
      <protection/>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12" xfId="0" applyBorder="1" applyAlignment="1">
      <alignment/>
    </xf>
    <xf numFmtId="0" fontId="0" fillId="0" borderId="0" xfId="32" applyFont="1" applyBorder="1">
      <alignment/>
      <protection/>
    </xf>
    <xf numFmtId="0" fontId="0" fillId="0" borderId="9" xfId="0" applyFont="1" applyBorder="1" applyAlignment="1">
      <alignment/>
    </xf>
    <xf numFmtId="194" fontId="1" fillId="0" borderId="13" xfId="32" applyNumberFormat="1" applyFont="1" applyBorder="1">
      <alignment/>
      <protection/>
    </xf>
    <xf numFmtId="194" fontId="1" fillId="0" borderId="13" xfId="33" applyNumberFormat="1" applyFont="1" applyBorder="1">
      <alignment/>
      <protection/>
    </xf>
    <xf numFmtId="194" fontId="0" fillId="0" borderId="4" xfId="33" applyNumberFormat="1" applyFont="1" applyBorder="1">
      <alignment/>
      <protection/>
    </xf>
    <xf numFmtId="194" fontId="0" fillId="0" borderId="13" xfId="33" applyNumberFormat="1" applyFont="1" applyBorder="1">
      <alignment/>
      <protection/>
    </xf>
    <xf numFmtId="194" fontId="1" fillId="0" borderId="13" xfId="34" applyNumberFormat="1" applyFont="1" applyBorder="1">
      <alignment/>
      <protection/>
    </xf>
    <xf numFmtId="194" fontId="1" fillId="0" borderId="13" xfId="37" applyNumberFormat="1" applyFont="1" applyBorder="1">
      <alignment/>
      <protection/>
    </xf>
    <xf numFmtId="0" fontId="1" fillId="0" borderId="0" xfId="0" applyFont="1" applyAlignment="1">
      <alignment/>
    </xf>
    <xf numFmtId="0" fontId="0" fillId="0" borderId="0" xfId="0" applyFont="1" applyAlignment="1">
      <alignment/>
    </xf>
    <xf numFmtId="0" fontId="9" fillId="0" borderId="0" xfId="21" applyAlignment="1">
      <alignment/>
    </xf>
    <xf numFmtId="0" fontId="5" fillId="0" borderId="0" xfId="32" applyFont="1">
      <alignment/>
      <protection/>
    </xf>
    <xf numFmtId="0" fontId="5" fillId="0" borderId="0" xfId="33" applyFont="1">
      <alignment/>
      <protection/>
    </xf>
    <xf numFmtId="0" fontId="5" fillId="0" borderId="0" xfId="35" applyFont="1">
      <alignment/>
      <protection/>
    </xf>
    <xf numFmtId="0" fontId="5" fillId="0" borderId="0" xfId="36" applyFont="1">
      <alignment/>
      <protection/>
    </xf>
    <xf numFmtId="0" fontId="5" fillId="0" borderId="0" xfId="34" applyFont="1">
      <alignment/>
      <protection/>
    </xf>
    <xf numFmtId="3" fontId="5" fillId="0" borderId="0" xfId="36" applyNumberFormat="1" applyFont="1" applyFill="1" applyBorder="1">
      <alignment/>
      <protection/>
    </xf>
    <xf numFmtId="3" fontId="1" fillId="0" borderId="0" xfId="0" applyNumberFormat="1" applyFont="1" applyAlignment="1">
      <alignment horizontal="center"/>
    </xf>
    <xf numFmtId="3" fontId="1" fillId="0" borderId="0" xfId="32" applyNumberFormat="1" applyFont="1" applyAlignment="1">
      <alignment horizontal="center"/>
      <protection/>
    </xf>
    <xf numFmtId="3" fontId="1" fillId="0" borderId="0" xfId="33" applyNumberFormat="1" applyFont="1" applyAlignment="1">
      <alignment horizontal="center"/>
      <protection/>
    </xf>
    <xf numFmtId="3" fontId="1" fillId="0" borderId="0" xfId="34" applyNumberFormat="1" applyFont="1" applyAlignment="1">
      <alignment horizontal="center"/>
      <protection/>
    </xf>
    <xf numFmtId="3" fontId="1" fillId="0" borderId="0" xfId="37" applyNumberFormat="1" applyFont="1" applyAlignment="1">
      <alignment horizontal="center"/>
      <protection/>
    </xf>
    <xf numFmtId="0" fontId="14" fillId="0" borderId="0" xfId="0" applyFont="1" applyAlignment="1">
      <alignment/>
    </xf>
  </cellXfs>
  <cellStyles count="26">
    <cellStyle name="Normal" xfId="0"/>
    <cellStyle name="0" xfId="15"/>
    <cellStyle name="0.0" xfId="16"/>
    <cellStyle name="0.0000" xfId="17"/>
    <cellStyle name="decimalen" xfId="18"/>
    <cellStyle name="decimalenpunt2" xfId="19"/>
    <cellStyle name="Followed Hyperlink" xfId="20"/>
    <cellStyle name="Hyperlink" xfId="21"/>
    <cellStyle name="Comma" xfId="22"/>
    <cellStyle name="Comma [0]" xfId="23"/>
    <cellStyle name="komma1nul" xfId="24"/>
    <cellStyle name="komma2nul" xfId="25"/>
    <cellStyle name="nieuw" xfId="26"/>
    <cellStyle name="perc1nul" xfId="27"/>
    <cellStyle name="perc2nul" xfId="28"/>
    <cellStyle name="perc3nul" xfId="29"/>
    <cellStyle name="perc4" xfId="30"/>
    <cellStyle name="Percent" xfId="31"/>
    <cellStyle name="Standaard_96palg02" xfId="32"/>
    <cellStyle name="Standaard_96palg03" xfId="33"/>
    <cellStyle name="Standaard_96palg05 (2)" xfId="34"/>
    <cellStyle name="Standaard_96palg06" xfId="35"/>
    <cellStyle name="Standaard_96palg07" xfId="36"/>
    <cellStyle name="Standaard_96palg09 (2)" xfId="37"/>
    <cellStyle name="Currency" xfId="38"/>
    <cellStyle name="Currency [0]" xfId="3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12</xdr:col>
      <xdr:colOff>485775</xdr:colOff>
      <xdr:row>108</xdr:row>
      <xdr:rowOff>9525</xdr:rowOff>
    </xdr:to>
    <xdr:sp>
      <xdr:nvSpPr>
        <xdr:cNvPr id="1" name="Tekst 1"/>
        <xdr:cNvSpPr txBox="1">
          <a:spLocks noChangeArrowheads="1"/>
        </xdr:cNvSpPr>
      </xdr:nvSpPr>
      <xdr:spPr>
        <a:xfrm>
          <a:off x="19050" y="9525"/>
          <a:ext cx="7781925" cy="17487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000" b="1" i="0" u="none" baseline="0">
              <a:latin typeface="Arial"/>
              <a:ea typeface="Arial"/>
              <a:cs typeface="Arial"/>
            </a:rPr>
            <a:t> ONDERWIJSPERSONEEL
  </a:t>
          </a:r>
          <a:r>
            <a:rPr lang="en-US" cap="none" sz="1000" b="0" i="0" u="none" baseline="0">
              <a:latin typeface="Arial"/>
              <a:ea typeface="Arial"/>
              <a:cs typeface="Arial"/>
            </a:rPr>
            <a:t>In de personeelsstatistieken wordt enkel het personeel geregistreerd dat ofwel rechtstreeks door het Beleidsdomein Onderwijs en 
  Vorming wordt betaald, ofwel waarvan de lonen ten laste zijn van de werkingsenveloppe van het hoger onderwijs. Dit impliceert dat 
  het meester-, vak- en dienstpersoneel van het gesubsidieerd onderwijs niet opgenomen is in de statistieken. De gesubsidieerde 
  contractuelen worden ook buiten beschouwing gelaten, omdat deze personeelsleden niet volledig door het Beleidsdomein Onderwijs 
  en Vorming worden betaald. 
  Het personeel dat geniet van het stelsel 'terbeschikkingstelling voorafgaand aan het rustpensioen' (TBS+) is opgenomen in deze 
  statistieken. Alle personeelsgegevens hebben betrekking op de maand januari, zoals gekend in juni 2010.
  De tabel met betrekking tot de 'professionele  bachelors voor het onderwijs' en de 'masters'  wordt gebaseerd op de door de 
  betrokkenen behaalde diploma's.  (Zie deel 4 Personeel, hoofdstuk 3 Secundair onderwijs, 3.1 Budgettaire fulltime-equivalenten). 
</a:t>
          </a:r>
          <a:r>
            <a:rPr lang="en-US" cap="none" sz="1000" b="1" i="1" u="none" baseline="0">
              <a:latin typeface="Arial"/>
              <a:ea typeface="Arial"/>
              <a:cs typeface="Arial"/>
            </a:rPr>
            <a:t> </a:t>
          </a:r>
          <a:r>
            <a:rPr lang="en-US" cap="none" sz="1000" b="1" i="1" u="sng" baseline="0">
              <a:latin typeface="Arial"/>
              <a:ea typeface="Arial"/>
              <a:cs typeface="Arial"/>
            </a:rPr>
            <a:t> Bestuurs- en onderwijzend personeel</a:t>
          </a:r>
          <a:r>
            <a:rPr lang="en-US" cap="none" sz="1000" b="0" i="0" u="sng" baseline="0">
              <a:latin typeface="Arial"/>
              <a:ea typeface="Arial"/>
              <a:cs typeface="Arial"/>
            </a:rPr>
            <a:t> en</a:t>
          </a:r>
          <a:r>
            <a:rPr lang="en-US" cap="none" sz="1000" b="1" i="1" u="sng" baseline="0">
              <a:latin typeface="Arial"/>
              <a:ea typeface="Arial"/>
              <a:cs typeface="Arial"/>
            </a:rPr>
            <a:t> andere personeelscategorieën</a:t>
          </a:r>
          <a:r>
            <a:rPr lang="en-US" cap="none" sz="1000" b="0" i="0" u="none" baseline="0">
              <a:latin typeface="Arial"/>
              <a:ea typeface="Arial"/>
              <a:cs typeface="Arial"/>
            </a:rPr>
            <a:t>
  Binnen het onderwijspersoneel wordt een onderscheid gemaakt tussen enerzijds het </a:t>
          </a:r>
          <a:r>
            <a:rPr lang="en-US" cap="none" sz="1000" b="0" i="1" u="none" baseline="0">
              <a:latin typeface="Arial"/>
              <a:ea typeface="Arial"/>
              <a:cs typeface="Arial"/>
            </a:rPr>
            <a:t>bestuurs- en onderwijzend personeel</a:t>
          </a:r>
          <a:r>
            <a:rPr lang="en-US" cap="none" sz="1000" b="0" i="0" u="none" baseline="0">
              <a:latin typeface="Arial"/>
              <a:ea typeface="Arial"/>
              <a:cs typeface="Arial"/>
            </a:rPr>
            <a:t> en   
  anderzijds </a:t>
          </a:r>
          <a:r>
            <a:rPr lang="en-US" cap="none" sz="1000" b="0" i="1" u="none" baseline="0">
              <a:latin typeface="Arial"/>
              <a:ea typeface="Arial"/>
              <a:cs typeface="Arial"/>
            </a:rPr>
            <a:t>andere personeelscategorieën</a:t>
          </a:r>
          <a:r>
            <a:rPr lang="en-US" cap="none" sz="1000" b="0" i="0" u="none" baseline="0">
              <a:latin typeface="Arial"/>
              <a:ea typeface="Arial"/>
              <a:cs typeface="Arial"/>
            </a:rPr>
            <a:t>. 
  Het </a:t>
          </a:r>
          <a:r>
            <a:rPr lang="en-US" cap="none" sz="1000" b="0" i="1" u="none" baseline="0">
              <a:latin typeface="Arial"/>
              <a:ea typeface="Arial"/>
              <a:cs typeface="Arial"/>
            </a:rPr>
            <a:t>bestuurspersoneel </a:t>
          </a:r>
          <a:r>
            <a:rPr lang="en-US" cap="none" sz="1000" b="0" i="0" u="none" baseline="0">
              <a:latin typeface="Arial"/>
              <a:ea typeface="Arial"/>
              <a:cs typeface="Arial"/>
            </a:rPr>
            <a:t>bestaat uit directeurs en adjunct-directeurs en nog enkele andere ambten. Het </a:t>
          </a:r>
          <a:r>
            <a:rPr lang="en-US" cap="none" sz="1000" b="0" i="1" u="none" baseline="0">
              <a:latin typeface="Arial"/>
              <a:ea typeface="Arial"/>
              <a:cs typeface="Arial"/>
            </a:rPr>
            <a:t>onderwijzend personeel </a:t>
          </a:r>
          <a:r>
            <a:rPr lang="en-US" cap="none" sz="1000" b="0" i="0" u="none" baseline="0">
              <a:latin typeface="Arial"/>
              <a:ea typeface="Arial"/>
              <a:cs typeface="Arial"/>
            </a:rPr>
            <a:t>
  vervult effectief een lesopdracht of is terbeschikkinggesteld voorafgaand aan het rustpensioen. 
  De </a:t>
          </a:r>
          <a:r>
            <a:rPr lang="en-US" cap="none" sz="1000" b="0" i="1" u="none" baseline="0">
              <a:latin typeface="Arial"/>
              <a:ea typeface="Arial"/>
              <a:cs typeface="Arial"/>
            </a:rPr>
            <a:t>andere personeelscategorieën</a:t>
          </a:r>
          <a:r>
            <a:rPr lang="en-US" cap="none" sz="1000" b="0" i="0" u="none" baseline="0">
              <a:latin typeface="Arial"/>
              <a:ea typeface="Arial"/>
              <a:cs typeface="Arial"/>
            </a:rPr>
            <a:t> bestaan uit het administratief personeel, het werkliedenpersoneel van het gemeenschaps-
  onderwijs, het opvoedend hulppersoneel, het paramedisch personeel, het CLB- personeel, het inspectiepersoneel, het personeel 
  pedagogische begeleiding en het personeel van de internaten. Vanaf het schooljaar 2001-2002 bevat deze categorie ook de 
  kinderverzorgsters van het kleuteronderwijs.
   In het basisonderwijs komen voor het </a:t>
          </a:r>
          <a:r>
            <a:rPr lang="en-US" cap="none" sz="1000" b="0" i="1" u="none" baseline="0">
              <a:latin typeface="Arial"/>
              <a:ea typeface="Arial"/>
              <a:cs typeface="Arial"/>
            </a:rPr>
            <a:t>bestuurs- en onderwijzend personeel </a:t>
          </a:r>
          <a:r>
            <a:rPr lang="en-US" cap="none" sz="1000" b="0" i="0" u="none" baseline="0">
              <a:latin typeface="Arial"/>
              <a:ea typeface="Arial"/>
              <a:cs typeface="Arial"/>
            </a:rPr>
            <a:t>vanaf het schooljaar 2003-2004 ook de 
  leraars LO (kleuteronderwijs) in aanmerking alsook de zorgcoördinatoren.  Eveneens in het basisonderwijs is er bij 
  de </a:t>
          </a:r>
          <a:r>
            <a:rPr lang="en-US" cap="none" sz="1000" b="0" i="1" u="none" baseline="0">
              <a:latin typeface="Arial"/>
              <a:ea typeface="Arial"/>
              <a:cs typeface="Arial"/>
            </a:rPr>
            <a:t>andere personeelscategorieën</a:t>
          </a:r>
          <a:r>
            <a:rPr lang="en-US" cap="none" sz="1000" b="0" i="0" u="none" baseline="0">
              <a:latin typeface="Arial"/>
              <a:ea typeface="Arial"/>
              <a:cs typeface="Arial"/>
            </a:rPr>
            <a:t> een aanzienlijke uitbreiding van het administratief personeel vanaf 2003-2004. De 
  invoering van het onderwijslandschap in het basisonderwijs op 1 september 2003 was een ingrijpende maatregel. Op 
  personeelsvlak was het gevolg dat er een nieuwe personeelscategorie werd ingevoerd in het basisonderwijs, namelijk 
  die van het </a:t>
          </a:r>
          <a:r>
            <a:rPr lang="en-US" cap="none" sz="1000" b="0" i="1" u="none" baseline="0">
              <a:latin typeface="Arial"/>
              <a:ea typeface="Arial"/>
              <a:cs typeface="Arial"/>
            </a:rPr>
            <a:t>beleids-en ondersteunend personeel.
  Bij het personeel naar onderwijsniveau is bij de categorie 'andere' voor het schooljaar 2008-2009 een fikse toename
  vast te stellen. Dit is te wijten aan een hercodering van de personeelsleden van de internaten. In het verleden werden
  deze personeelsleden in rekening gebracht bij het onderwijsniveau van de school waaraan het internaat verbonden 
  was. Vanaf dit schooljaar worden deze personeelsleden toegewezen aan de categorie 'andere'. Dit heeft enkel een 
  impact op de 'andere personeelscategorieën'. (En dus niet op het cijfermateriaal inzake bestuurs-en onderwijzend personeel). 
 </a:t>
          </a:r>
          <a:r>
            <a:rPr lang="en-US" cap="none" sz="1000" b="0" i="0" u="none" baseline="0">
              <a:latin typeface="Arial"/>
              <a:ea typeface="Arial"/>
              <a:cs typeface="Arial"/>
            </a:rPr>
            <a:t>Vanaf 1 september 2008 wordt de betaling van de personeelsleden van de Centra voor Basiseducatie overgenomen door het         </a:t>
          </a:r>
          <a:r>
            <a:rPr lang="en-US" cap="none" sz="1000" b="0" i="1" u="none" baseline="0">
              <a:latin typeface="Arial"/>
              <a:ea typeface="Arial"/>
              <a:cs typeface="Arial"/>
            </a:rPr>
            <a:t>                </a:t>
          </a:r>
          <a:r>
            <a:rPr lang="en-US" cap="none" sz="1000" b="1" i="0" u="none" baseline="0">
              <a:latin typeface="Arial"/>
              <a:ea typeface="Arial"/>
              <a:cs typeface="Arial"/>
            </a:rPr>
            <a:t>
  </a:t>
          </a:r>
          <a:r>
            <a:rPr lang="en-US" cap="none" sz="1000" b="0" i="0" u="none" baseline="0">
              <a:latin typeface="Arial"/>
              <a:ea typeface="Arial"/>
              <a:cs typeface="Arial"/>
            </a:rPr>
            <a:t>Beleidsdomein Onderwijs en Vorming. Vanaf die datum treedt het Beleidsdomein op als 'derde betaler' voor die      
  personeelsleden die met een arbeidsovereenkomst verbonden zijn aan een Centrum voor Basiseducatie (Contractueel door 
  Onderwijs) en die niet op een andere wijze worden betaald. Op basis van de invoering van het decreet op het  Volwassenenonderwijs
  van 15 juni 2007 wordt dit derdebetalersysteem ingevoerd.
  </a:t>
          </a:r>
          <a:r>
            <a:rPr lang="en-US" cap="none" sz="1000" b="1" i="0" u="none" baseline="0">
              <a:latin typeface="Arial"/>
              <a:ea typeface="Arial"/>
              <a:cs typeface="Arial"/>
            </a:rPr>
            <a:t>Het hoger beroepsonderwijs behoort juridisch tot het hoger onderwijs. Hoger beroepsonderwijs kan worden ingericht door 
  centra voor volwassenenonderwijs, hogescholen en scholen voor voltijds secundair onderwijs (HBO5-verpleegkunde). In 
  2009-2010 werd nog geen hoger beroepsonderwijs ingericht in de hogescholen. 
  Op 1 september 2009 werd de vierde graad verpleegkunde afgesplitst van het secundair onderwijs en ondergebracht in het 
  hoger beroepsonderwijs (HBO5). In 2009-2010 waren er 20 secundaire scholen die HBO5-verpleegkunde inrichtten. Vier 
  daarvan richtten enkel HBO5-verpleegkunde in. De overige zestien scholen richtten, naast HBO5-verpleegkunde, ook (en 
  hoofdzakelijk) voltijds gewoon secundair onderwijs in. 
  Niet voor alle personeelscategorieën kan een onderscheid gemaakt worden tussen 'secundair onderwijs' en 'HBO5-
  verpleegkunde'. In de tabellen betekent dit het volgende:
  -bestuurs- en onderwijzend personeel :
  het bestuurs- en onderwijzend personeel van de 4 scholen + het onderwijzend personeel van de 16 scholen waar zowel 
  voltijds secundair onderwijs als HBO5-verpleegkunde werd ingericht, zijn in de data van HBO5-verpleegkunde vervat. Het 
  bestuurspersoneel van deze 16 scholen is inbegrepen in de data van het voltijds gewoon secundair onderwijs.
  - andere personeelscategorieën :
  'andere personeelscategorieën' bevat voor HBO5-verpleegkunde enkel de gegevens van de 4 scholen die alleen HBO5-
  verpleegkunde inrichtten . De 'andere personeelscategorieën' van de 16 scholen waar zowel voltijds secundair 
  onderwijs als HBO5-verpleegkunde werd ingericht, zijn meegeteld in de tabellen van het secundair onderwijs.</a:t>
          </a:r>
          <a:r>
            <a:rPr lang="en-US" cap="none" sz="1000" b="0" i="0" u="none" baseline="0">
              <a:latin typeface="Arial"/>
              <a:ea typeface="Arial"/>
              <a:cs typeface="Arial"/>
            </a:rPr>
            <a:t>
 </a:t>
          </a:r>
          <a:r>
            <a:rPr lang="en-US" cap="none" sz="1000" b="1" i="1" u="none" baseline="0">
              <a:latin typeface="Arial"/>
              <a:ea typeface="Arial"/>
              <a:cs typeface="Arial"/>
            </a:rPr>
            <a:t>
 </a:t>
          </a:r>
          <a:r>
            <a:rPr lang="en-US" cap="none" sz="1000" b="1" i="1" u="sng" baseline="0">
              <a:latin typeface="Arial"/>
              <a:ea typeface="Arial"/>
              <a:cs typeface="Arial"/>
            </a:rPr>
            <a:t>Fysieke personen</a:t>
          </a:r>
          <a:r>
            <a:rPr lang="en-US" cap="none" sz="1000" b="0" i="0" u="sng" baseline="0">
              <a:latin typeface="Arial"/>
              <a:ea typeface="Arial"/>
              <a:cs typeface="Arial"/>
            </a:rPr>
            <a:t> en </a:t>
          </a:r>
          <a:r>
            <a:rPr lang="en-US" cap="none" sz="1000" b="1" i="1" u="sng" baseline="0">
              <a:latin typeface="Arial"/>
              <a:ea typeface="Arial"/>
              <a:cs typeface="Arial"/>
            </a:rPr>
            <a:t>budgettaire fulltime-equivalenten</a:t>
          </a:r>
          <a:r>
            <a:rPr lang="en-US" cap="none" sz="1000" b="0" i="0" u="none" baseline="0">
              <a:latin typeface="Arial"/>
              <a:ea typeface="Arial"/>
              <a:cs typeface="Arial"/>
            </a:rPr>
            <a:t>
  De personeelsleden worden uitgedrukt in </a:t>
          </a:r>
          <a:r>
            <a:rPr lang="en-US" cap="none" sz="1000" b="0" i="1" u="none" baseline="0">
              <a:latin typeface="Arial"/>
              <a:ea typeface="Arial"/>
              <a:cs typeface="Arial"/>
            </a:rPr>
            <a:t>aantal fysieke personen</a:t>
          </a:r>
          <a:r>
            <a:rPr lang="en-US" cap="none" sz="1000" b="0" i="0" u="none" baseline="0">
              <a:latin typeface="Arial"/>
              <a:ea typeface="Arial"/>
              <a:cs typeface="Arial"/>
            </a:rPr>
            <a:t> en in </a:t>
          </a:r>
          <a:r>
            <a:rPr lang="en-US" cap="none" sz="1000" b="0" i="1" u="none" baseline="0">
              <a:latin typeface="Arial"/>
              <a:ea typeface="Arial"/>
              <a:cs typeface="Arial"/>
            </a:rPr>
            <a:t>budgettaire fulltime-equivalenten</a:t>
          </a:r>
          <a:r>
            <a:rPr lang="en-US" cap="none" sz="1000" b="0" i="0" u="none" baseline="0">
              <a:latin typeface="Arial"/>
              <a:ea typeface="Arial"/>
              <a:cs typeface="Arial"/>
            </a:rPr>
            <a:t>.  De fysieke personen 
  worden geregistreerd in het onderwijsniveau en -net waar zij de grootste lesopdracht hebben. </a:t>
          </a:r>
          <a:r>
            <a:rPr lang="en-US" cap="none" sz="1000" b="1" i="0" u="none" baseline="0">
              <a:latin typeface="Arial"/>
              <a:ea typeface="Arial"/>
              <a:cs typeface="Arial"/>
            </a:rPr>
            <a:t>Er wordt rekening gehouden met korte                                        
  vervangingen. </a:t>
          </a:r>
          <a:r>
            <a:rPr lang="en-US" cap="none" sz="1000" b="1" i="0" u="sng" baseline="0">
              <a:latin typeface="Arial"/>
              <a:ea typeface="Arial"/>
              <a:cs typeface="Arial"/>
            </a:rPr>
            <a:t>Alle</a:t>
          </a:r>
          <a:r>
            <a:rPr lang="en-US" cap="none" sz="1000" b="1" i="0" u="none" baseline="0">
              <a:latin typeface="Arial"/>
              <a:ea typeface="Arial"/>
              <a:cs typeface="Arial"/>
            </a:rPr>
            <a:t> vervangingen zitten dus in de tabellen</a:t>
          </a:r>
          <a:r>
            <a:rPr lang="en-US" cap="none" sz="1000" b="1" i="1" u="none" baseline="0">
              <a:latin typeface="Arial"/>
              <a:ea typeface="Arial"/>
              <a:cs typeface="Arial"/>
            </a:rPr>
            <a:t> fysieke personen</a:t>
          </a:r>
          <a:r>
            <a:rPr lang="en-US" cap="none" sz="1000" b="1" i="0" u="none" baseline="0">
              <a:latin typeface="Arial"/>
              <a:ea typeface="Arial"/>
              <a:cs typeface="Arial"/>
            </a:rPr>
            <a:t> en</a:t>
          </a:r>
          <a:r>
            <a:rPr lang="en-US" cap="none" sz="1000" b="1" i="1" u="none" baseline="0">
              <a:latin typeface="Arial"/>
              <a:ea typeface="Arial"/>
              <a:cs typeface="Arial"/>
            </a:rPr>
            <a:t> budgettaire fulltime-equivalenten.</a:t>
          </a:r>
          <a:r>
            <a:rPr lang="en-US" cap="none" sz="1000" b="0" i="1" u="none" baseline="0">
              <a:latin typeface="Arial"/>
              <a:ea typeface="Arial"/>
              <a:cs typeface="Arial"/>
            </a:rPr>
            <a:t>
 </a:t>
          </a:r>
          <a:r>
            <a:rPr lang="en-US" cap="none" sz="1000" b="0" i="0" u="none" baseline="0">
              <a:latin typeface="Arial"/>
              <a:ea typeface="Arial"/>
              <a:cs typeface="Arial"/>
            </a:rPr>
            <a:t>Voor het universitair onderwijs zijn de gastprofessoren en vervroegd gepensioneerden in het cijfermateriaal opgenomen voor wat 
  betreft het aantal personeelsleden en niet voor de budgettaire fulltime-equivalenten.
  De </a:t>
          </a:r>
          <a:r>
            <a:rPr lang="en-US" cap="none" sz="1000" b="0" i="1" u="none" baseline="0">
              <a:latin typeface="Arial"/>
              <a:ea typeface="Arial"/>
              <a:cs typeface="Arial"/>
            </a:rPr>
            <a:t>budgettaire fulltimes</a:t>
          </a:r>
          <a:r>
            <a:rPr lang="en-US" cap="none" sz="1000" b="0" i="0" u="none" baseline="0">
              <a:latin typeface="Arial"/>
              <a:ea typeface="Arial"/>
              <a:cs typeface="Arial"/>
            </a:rPr>
            <a:t> zijn het resultaat van de sommatie van alle deelopdrachten van alle personeelsleden (m.a.w. met inbegrip 
  van de vervangingen van minder dan een jaar). Bij het hogescholenonderwijs zijn de lesopdrachten van de gastprofessoren en de 
  mandaatsvergoedingen niet opgenomen in de budgettaire fulltimes. Dit geldt vanaf het academiejaar 1995-1996. Naast de 
  detailgegevens voor het schooljaar 2009-2010 is er ook een historische reeks weergegeven vanaf het schooljaar 2002-2003.
</a:t>
          </a:r>
          <a:r>
            <a:rPr lang="en-US" cap="none" sz="1000" b="1" i="1" u="none" baseline="0">
              <a:latin typeface="Arial"/>
              <a:ea typeface="Arial"/>
              <a:cs typeface="Arial"/>
            </a:rPr>
            <a:t>  </a:t>
          </a:r>
          <a:r>
            <a:rPr lang="en-US" cap="none" sz="1000" b="1" i="1" u="sng" baseline="0">
              <a:latin typeface="Arial"/>
              <a:ea typeface="Arial"/>
              <a:cs typeface="Arial"/>
            </a:rPr>
            <a:t>Bestuurspersoneel</a:t>
          </a:r>
          <a:r>
            <a:rPr lang="en-US" cap="none" sz="1000" b="0" i="0" u="sng" baseline="0">
              <a:latin typeface="Arial"/>
              <a:ea typeface="Arial"/>
              <a:cs typeface="Arial"/>
            </a:rPr>
            <a:t>
</a:t>
          </a:r>
          <a:r>
            <a:rPr lang="en-US" cap="none" sz="1000" b="0" i="0" u="none" baseline="0">
              <a:latin typeface="Arial"/>
              <a:ea typeface="Arial"/>
              <a:cs typeface="Arial"/>
            </a:rPr>
            <a:t>  Er worden afzonderlijke detailtabellen opgenomen met het bestuurspersoneel (Zie deel 4 Personeel, hoofdstuk 1
  Algemeen overzicht, 1.3 Bestuurspersoneel).  In de tabellen van het bestuurs- en onderwijzend personeel zit het 
  bestuurspersoneel nog inbegrepen. Er wordt van een nieuwe databank gebruik gemaakt voor het volwassenenonderwijs.
  In de data voor het volwassenenonderwijs zijn voor het bestuurspersoneel uitgedrukt in aantallen personen enkel de 
  personeelsleden in rekening gebracht die een budgettaire fulltime van ten minste 50% hebben. Op die manier wordt
  de vergelijkbaarheid met de vroegere databank gegarandeerd.
</a:t>
          </a:r>
          <a:r>
            <a:rPr lang="en-US" cap="none" sz="1000" b="1" i="1" u="none" baseline="0">
              <a:latin typeface="Arial"/>
              <a:ea typeface="Arial"/>
              <a:cs typeface="Arial"/>
            </a:rPr>
            <a:t>  </a:t>
          </a:r>
          <a:r>
            <a:rPr lang="en-US" cap="none" sz="1000" b="1" i="1" u="sng" baseline="0">
              <a:latin typeface="Arial"/>
              <a:ea typeface="Arial"/>
              <a:cs typeface="Arial"/>
            </a:rPr>
            <a:t>Terbeschikkingstelling voorafgaand aan het rustpensioen</a:t>
          </a:r>
          <a:r>
            <a:rPr lang="en-US" cap="none" sz="1000" b="0" i="0" u="sng" baseline="0">
              <a:latin typeface="Arial"/>
              <a:ea typeface="Arial"/>
              <a:cs typeface="Arial"/>
            </a:rPr>
            <a:t>
</a:t>
          </a:r>
          <a:r>
            <a:rPr lang="en-US" cap="none" sz="1000" b="0" i="0" u="none" baseline="0">
              <a:latin typeface="Arial"/>
              <a:ea typeface="Arial"/>
              <a:cs typeface="Arial"/>
            </a:rPr>
            <a:t>    Er worden aparte tabellen opgenomen met de terbeschikkingstelling voorafgaand aan het rustpensioen en de  bonus voor  
   bestuurspersoneel, bestuurs- en onderwijzend personeel en 'andere' personeelscategorieën. In de gewone tabellen van
   bestuurspersoneel, bestuurs- en onderwijzend personeel en 'andere' personeel zitten de terbeschikkinggestelden voorafgaand aan  het  
   rustpensioen en diegenen met bonus vervat. Het besluit van de Vlaamse regering van 22 februari 2002, tot wijziging van het   besluit van
   de Vlaamse regering van 11 februari 2000, betreffende de volledige terbeschikkingstelling wegens persoonlijke  aangelegenheden
    voorafgaand aan het rustpensioen voor personeelsleden van het onderwijs en van de CLB's, legt de krachtlijnen  van de vernieuwde 
   uitstapregeling vast. De belangrijkste maatregel bestaat erin dat de uitstapleeftijd vanaf 1 september 2002 wordt  opgetrokken tot 58 jaar 
   behalve voor de personeelsleden die uitsluitend vastbenoemd titularis zijn van een betrekking in het ambt van kleuteronderwijzer of 
   kleuteronderwijzer algemene en sociale vorming. De uitstapleeftijd wordt voor deze personeelsleden op 56 jaar gebracht. 
   De nieuwe regeling bevat evenwel een aantal overgangsbepalingen:
   - Personeelsleden die ten laatste op 31 augustus 2002 55 jaar worden, behouden de voorwaarden van de vroegere regeling. Zij 
  kunnen ook na de leeftijd van 55 jaar blijven uitstappen onder de voorwaarden vastgelegd onder deze regeling. Het enige verschil is 
  dat er voor deze groep vanaf 1 september 2002 nog slechts 3 mogelijke uitstapdata zijn: 1 september, 1 januari en 1 april.
   - De personeelsleden die geboren zijn na 31 augustus 1947 en vóór 1 september 1952  (behalve het hoger onderwijs nu ook vóór
  1 september 1954) kunnen, als gevolg van een overgangsmaatregel, gedurende een aantal  maanden een bijkomende 
  terbeschikkingstelling krijgen.   Dat aantal maanden laat hen toe om vóór hun 58ste verjaardag (56ste verjaardag voor de
  personeelsleden die uitsluitend titularis zijn van het ambt van  kleuteronderwijzer of kleuteronderwijzer algemene en sociale vorming) 
  volledig, maar ook gedeeltelijk uit te stappen. Deze bijkomende terbeschikkingstelling wordt bonus genoemd. De bonus moet 
  onmiddellijk vóór de volledige terbeschikkingstelling voorafgaand aan het rustpensioen vanaf de leeftijd van 58 of 56 jaar, of vóór 
  het pensioen worden opgenomen. De bonus kan nooit ingaan vóór de leeftijd van 55 jaar.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9"/>
  <sheetViews>
    <sheetView tabSelected="1" workbookViewId="0" topLeftCell="A1">
      <selection activeCell="K5" sqref="K5"/>
    </sheetView>
  </sheetViews>
  <sheetFormatPr defaultColWidth="9.140625" defaultRowHeight="12.75"/>
  <cols>
    <col min="2" max="2" width="3.8515625" style="0" customWidth="1"/>
  </cols>
  <sheetData>
    <row r="1" ht="15.75">
      <c r="A1" s="251" t="s">
        <v>87</v>
      </c>
    </row>
    <row r="3" spans="1:3" ht="12.75">
      <c r="A3" t="s">
        <v>119</v>
      </c>
      <c r="C3" t="s">
        <v>88</v>
      </c>
    </row>
    <row r="5" ht="12.75">
      <c r="A5" s="237" t="s">
        <v>89</v>
      </c>
    </row>
    <row r="6" spans="1:3" ht="12.75">
      <c r="A6" t="s">
        <v>101</v>
      </c>
      <c r="C6" s="238" t="s">
        <v>90</v>
      </c>
    </row>
    <row r="7" spans="1:3" ht="12.75">
      <c r="A7" t="s">
        <v>102</v>
      </c>
      <c r="C7" s="238" t="s">
        <v>91</v>
      </c>
    </row>
    <row r="8" spans="1:3" ht="12.75">
      <c r="A8" t="s">
        <v>103</v>
      </c>
      <c r="C8" s="238" t="s">
        <v>92</v>
      </c>
    </row>
    <row r="9" ht="12.75">
      <c r="C9" s="238"/>
    </row>
    <row r="10" spans="1:3" ht="12.75">
      <c r="A10" s="237" t="s">
        <v>93</v>
      </c>
      <c r="C10" s="238"/>
    </row>
    <row r="11" spans="1:3" ht="12.75">
      <c r="A11" t="s">
        <v>104</v>
      </c>
      <c r="C11" s="238" t="s">
        <v>94</v>
      </c>
    </row>
    <row r="12" spans="1:3" ht="12.75">
      <c r="A12" t="s">
        <v>105</v>
      </c>
      <c r="C12" s="238" t="s">
        <v>95</v>
      </c>
    </row>
    <row r="13" spans="1:3" ht="12.75">
      <c r="A13" t="s">
        <v>106</v>
      </c>
      <c r="C13" s="238" t="s">
        <v>96</v>
      </c>
    </row>
    <row r="14" spans="1:3" ht="12.75">
      <c r="A14" t="s">
        <v>112</v>
      </c>
      <c r="C14" s="238" t="s">
        <v>97</v>
      </c>
    </row>
    <row r="15" spans="1:3" ht="12.75">
      <c r="A15" t="s">
        <v>108</v>
      </c>
      <c r="C15" s="238" t="s">
        <v>91</v>
      </c>
    </row>
    <row r="16" spans="1:3" ht="12.75">
      <c r="A16" t="s">
        <v>107</v>
      </c>
      <c r="C16" s="238" t="s">
        <v>98</v>
      </c>
    </row>
    <row r="17" spans="1:3" ht="12.75">
      <c r="A17" t="s">
        <v>109</v>
      </c>
      <c r="C17" s="238" t="s">
        <v>99</v>
      </c>
    </row>
    <row r="18" spans="1:3" ht="12.75">
      <c r="A18" t="s">
        <v>110</v>
      </c>
      <c r="C18" s="238" t="s">
        <v>100</v>
      </c>
    </row>
    <row r="19" spans="1:3" ht="12.75">
      <c r="A19" t="s">
        <v>111</v>
      </c>
      <c r="C19" s="238" t="s">
        <v>92</v>
      </c>
    </row>
  </sheetData>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Blad9">
    <pageSetUpPr fitToPage="1"/>
  </sheetPr>
  <dimension ref="A1:I71"/>
  <sheetViews>
    <sheetView workbookViewId="0" topLeftCell="A1">
      <selection activeCell="D10" sqref="D10"/>
    </sheetView>
  </sheetViews>
  <sheetFormatPr defaultColWidth="9.140625" defaultRowHeight="12.75"/>
  <cols>
    <col min="1" max="1" width="37.57421875" style="115" customWidth="1"/>
    <col min="2" max="8" width="10.140625" style="115" customWidth="1"/>
    <col min="9" max="9" width="10.57421875" style="115" bestFit="1" customWidth="1"/>
    <col min="10" max="16384" width="9.140625" style="115" customWidth="1"/>
  </cols>
  <sheetData>
    <row r="1" ht="12.75">
      <c r="A1" s="114" t="s">
        <v>81</v>
      </c>
    </row>
    <row r="2" spans="1:9" ht="12.75">
      <c r="A2" s="249" t="s">
        <v>17</v>
      </c>
      <c r="B2" s="249"/>
      <c r="C2" s="249"/>
      <c r="D2" s="249"/>
      <c r="E2" s="249"/>
      <c r="F2" s="249"/>
      <c r="G2" s="249"/>
      <c r="H2" s="249"/>
      <c r="I2" s="249"/>
    </row>
    <row r="3" spans="1:8" ht="12.75">
      <c r="A3" s="117"/>
      <c r="B3" s="118"/>
      <c r="C3" s="118"/>
      <c r="D3" s="118"/>
      <c r="E3" s="118"/>
      <c r="F3" s="118"/>
      <c r="G3" s="118"/>
      <c r="H3" s="118"/>
    </row>
    <row r="4" spans="1:9" ht="12.75">
      <c r="A4" s="249" t="s">
        <v>66</v>
      </c>
      <c r="B4" s="249"/>
      <c r="C4" s="249"/>
      <c r="D4" s="249"/>
      <c r="E4" s="249"/>
      <c r="F4" s="249"/>
      <c r="G4" s="249"/>
      <c r="H4" s="249"/>
      <c r="I4" s="249"/>
    </row>
    <row r="5" ht="13.5" thickBot="1">
      <c r="A5" s="116"/>
    </row>
    <row r="6" spans="1:9" ht="12.75">
      <c r="A6" s="119"/>
      <c r="B6" s="120"/>
      <c r="C6" s="120"/>
      <c r="D6" s="120"/>
      <c r="E6" s="120"/>
      <c r="F6" s="120"/>
      <c r="G6" s="120"/>
      <c r="H6" s="120"/>
      <c r="I6" s="120"/>
    </row>
    <row r="7" spans="1:9" s="142" customFormat="1" ht="12.75">
      <c r="A7" s="140"/>
      <c r="B7" s="141" t="s">
        <v>46</v>
      </c>
      <c r="C7" s="141" t="s">
        <v>47</v>
      </c>
      <c r="D7" s="141" t="s">
        <v>50</v>
      </c>
      <c r="E7" s="141" t="s">
        <v>51</v>
      </c>
      <c r="F7" s="141" t="s">
        <v>52</v>
      </c>
      <c r="G7" s="141" t="s">
        <v>53</v>
      </c>
      <c r="H7" s="141" t="s">
        <v>64</v>
      </c>
      <c r="I7" s="141" t="s">
        <v>83</v>
      </c>
    </row>
    <row r="8" spans="1:9" ht="12.75">
      <c r="A8" s="121"/>
      <c r="B8" s="122"/>
      <c r="C8" s="122"/>
      <c r="D8" s="122"/>
      <c r="E8" s="122"/>
      <c r="F8" s="122"/>
      <c r="G8" s="122"/>
      <c r="H8" s="122"/>
      <c r="I8" s="122"/>
    </row>
    <row r="9" spans="1:9" ht="12.75">
      <c r="A9" s="114"/>
      <c r="B9" s="123"/>
      <c r="C9" s="123"/>
      <c r="D9" s="123"/>
      <c r="E9" s="123"/>
      <c r="F9" s="123"/>
      <c r="G9" s="123"/>
      <c r="H9" s="123"/>
      <c r="I9" s="123"/>
    </row>
    <row r="10" spans="1:9" ht="12.75">
      <c r="A10" s="114" t="s">
        <v>7</v>
      </c>
      <c r="B10" s="122"/>
      <c r="C10" s="122"/>
      <c r="D10" s="122"/>
      <c r="E10" s="122"/>
      <c r="F10" s="122"/>
      <c r="G10" s="122"/>
      <c r="H10" s="122"/>
      <c r="I10" s="122"/>
    </row>
    <row r="11" spans="1:9" ht="12.75">
      <c r="A11" s="116" t="s">
        <v>18</v>
      </c>
      <c r="B11" s="124">
        <v>39311</v>
      </c>
      <c r="C11" s="124">
        <v>40598</v>
      </c>
      <c r="D11" s="124">
        <v>40062</v>
      </c>
      <c r="E11" s="124">
        <v>40345</v>
      </c>
      <c r="F11" s="124">
        <v>39508</v>
      </c>
      <c r="G11" s="124">
        <v>39133</v>
      </c>
      <c r="H11" s="124">
        <v>38838</v>
      </c>
      <c r="I11" s="124">
        <v>39053</v>
      </c>
    </row>
    <row r="12" spans="1:9" ht="12.75">
      <c r="A12" s="116" t="s">
        <v>19</v>
      </c>
      <c r="B12" s="124">
        <f>14376+18+13</f>
        <v>14407</v>
      </c>
      <c r="C12" s="124">
        <v>13634</v>
      </c>
      <c r="D12" s="124">
        <v>13848</v>
      </c>
      <c r="E12" s="124">
        <v>13739</v>
      </c>
      <c r="F12" s="124">
        <v>14234</v>
      </c>
      <c r="G12" s="124">
        <v>14645</v>
      </c>
      <c r="H12" s="124">
        <v>14947</v>
      </c>
      <c r="I12" s="124">
        <v>14973</v>
      </c>
    </row>
    <row r="13" spans="1:9" s="127" customFormat="1" ht="12.75">
      <c r="A13" s="125" t="s">
        <v>4</v>
      </c>
      <c r="B13" s="126">
        <f aca="true" t="shared" si="0" ref="B13:I13">SUM(B11:B12)</f>
        <v>53718</v>
      </c>
      <c r="C13" s="126">
        <f t="shared" si="0"/>
        <v>54232</v>
      </c>
      <c r="D13" s="126">
        <f t="shared" si="0"/>
        <v>53910</v>
      </c>
      <c r="E13" s="126">
        <f t="shared" si="0"/>
        <v>54084</v>
      </c>
      <c r="F13" s="126">
        <f t="shared" si="0"/>
        <v>53742</v>
      </c>
      <c r="G13" s="126">
        <f t="shared" si="0"/>
        <v>53778</v>
      </c>
      <c r="H13" s="126">
        <f t="shared" si="0"/>
        <v>53785</v>
      </c>
      <c r="I13" s="126">
        <f t="shared" si="0"/>
        <v>54026</v>
      </c>
    </row>
    <row r="14" spans="1:9" ht="12.75">
      <c r="A14" s="128"/>
      <c r="B14" s="124"/>
      <c r="C14" s="124"/>
      <c r="D14" s="124"/>
      <c r="E14" s="124"/>
      <c r="F14" s="124"/>
      <c r="G14" s="124"/>
      <c r="H14" s="124"/>
      <c r="I14" s="124"/>
    </row>
    <row r="15" spans="1:9" ht="12.75">
      <c r="A15" s="114" t="s">
        <v>11</v>
      </c>
      <c r="B15" s="124"/>
      <c r="C15" s="124"/>
      <c r="D15" s="124"/>
      <c r="E15" s="124"/>
      <c r="F15" s="124"/>
      <c r="G15" s="124"/>
      <c r="H15" s="124"/>
      <c r="I15" s="124"/>
    </row>
    <row r="16" spans="1:9" ht="12.75">
      <c r="A16" s="116" t="s">
        <v>18</v>
      </c>
      <c r="B16" s="124">
        <v>4319</v>
      </c>
      <c r="C16" s="124">
        <v>4416</v>
      </c>
      <c r="D16" s="124">
        <v>4457</v>
      </c>
      <c r="E16" s="124">
        <v>4558</v>
      </c>
      <c r="F16" s="124">
        <v>4580</v>
      </c>
      <c r="G16" s="124">
        <v>4605</v>
      </c>
      <c r="H16" s="124">
        <v>4714</v>
      </c>
      <c r="I16" s="124">
        <v>4794</v>
      </c>
    </row>
    <row r="17" spans="1:9" ht="12.75">
      <c r="A17" s="116" t="s">
        <v>19</v>
      </c>
      <c r="B17" s="124">
        <f>1502+9+22</f>
        <v>1533</v>
      </c>
      <c r="C17" s="124">
        <v>1552</v>
      </c>
      <c r="D17" s="124">
        <v>1601</v>
      </c>
      <c r="E17" s="124">
        <v>1711</v>
      </c>
      <c r="F17" s="124">
        <v>1808</v>
      </c>
      <c r="G17" s="124">
        <v>1888</v>
      </c>
      <c r="H17" s="124">
        <v>1888</v>
      </c>
      <c r="I17" s="124">
        <v>1941</v>
      </c>
    </row>
    <row r="18" spans="1:9" s="127" customFormat="1" ht="12.75">
      <c r="A18" s="125" t="s">
        <v>4</v>
      </c>
      <c r="B18" s="126">
        <f aca="true" t="shared" si="1" ref="B18:I18">SUM(B16:B17)</f>
        <v>5852</v>
      </c>
      <c r="C18" s="126">
        <f t="shared" si="1"/>
        <v>5968</v>
      </c>
      <c r="D18" s="126">
        <f t="shared" si="1"/>
        <v>6058</v>
      </c>
      <c r="E18" s="126">
        <f t="shared" si="1"/>
        <v>6269</v>
      </c>
      <c r="F18" s="126">
        <f t="shared" si="1"/>
        <v>6388</v>
      </c>
      <c r="G18" s="126">
        <f t="shared" si="1"/>
        <v>6493</v>
      </c>
      <c r="H18" s="126">
        <f t="shared" si="1"/>
        <v>6602</v>
      </c>
      <c r="I18" s="126">
        <f t="shared" si="1"/>
        <v>6735</v>
      </c>
    </row>
    <row r="19" spans="1:9" ht="12.75">
      <c r="A19" s="116"/>
      <c r="B19" s="124"/>
      <c r="C19" s="124"/>
      <c r="D19" s="124"/>
      <c r="E19" s="124"/>
      <c r="F19" s="124"/>
      <c r="G19" s="124"/>
      <c r="H19" s="124"/>
      <c r="I19" s="124"/>
    </row>
    <row r="20" spans="1:9" ht="12.75">
      <c r="A20" s="114" t="s">
        <v>12</v>
      </c>
      <c r="B20" s="124"/>
      <c r="C20" s="124"/>
      <c r="D20" s="124"/>
      <c r="E20" s="124"/>
      <c r="F20" s="124"/>
      <c r="G20" s="124"/>
      <c r="H20" s="124"/>
      <c r="I20" s="124"/>
    </row>
    <row r="21" spans="1:9" ht="12.75">
      <c r="A21" s="116" t="s">
        <v>18</v>
      </c>
      <c r="B21" s="124">
        <v>46323</v>
      </c>
      <c r="C21" s="124">
        <v>46087</v>
      </c>
      <c r="D21" s="124">
        <v>45940</v>
      </c>
      <c r="E21" s="124">
        <v>46149</v>
      </c>
      <c r="F21" s="124">
        <v>46088</v>
      </c>
      <c r="G21" s="124">
        <v>46365</v>
      </c>
      <c r="H21" s="124">
        <v>46662</v>
      </c>
      <c r="I21" s="124">
        <v>46499</v>
      </c>
    </row>
    <row r="22" spans="1:9" ht="12.75">
      <c r="A22" s="116" t="s">
        <v>19</v>
      </c>
      <c r="B22" s="124">
        <f>14984+15+9</f>
        <v>15008</v>
      </c>
      <c r="C22" s="124">
        <v>15583</v>
      </c>
      <c r="D22" s="124">
        <v>16140</v>
      </c>
      <c r="E22" s="124">
        <v>15964</v>
      </c>
      <c r="F22" s="124">
        <v>16224</v>
      </c>
      <c r="G22" s="124">
        <v>16213</v>
      </c>
      <c r="H22" s="124">
        <v>16934</v>
      </c>
      <c r="I22" s="124">
        <f>16845-310</f>
        <v>16535</v>
      </c>
    </row>
    <row r="23" spans="1:9" s="127" customFormat="1" ht="12.75">
      <c r="A23" s="125" t="s">
        <v>4</v>
      </c>
      <c r="B23" s="126">
        <f aca="true" t="shared" si="2" ref="B23:I23">SUM(B21:B22)</f>
        <v>61331</v>
      </c>
      <c r="C23" s="126">
        <f t="shared" si="2"/>
        <v>61670</v>
      </c>
      <c r="D23" s="126">
        <f t="shared" si="2"/>
        <v>62080</v>
      </c>
      <c r="E23" s="126">
        <f t="shared" si="2"/>
        <v>62113</v>
      </c>
      <c r="F23" s="126">
        <f t="shared" si="2"/>
        <v>62312</v>
      </c>
      <c r="G23" s="126">
        <f t="shared" si="2"/>
        <v>62578</v>
      </c>
      <c r="H23" s="126">
        <f t="shared" si="2"/>
        <v>63596</v>
      </c>
      <c r="I23" s="126">
        <f t="shared" si="2"/>
        <v>63034</v>
      </c>
    </row>
    <row r="24" spans="1:9" ht="12.75">
      <c r="A24" s="128"/>
      <c r="B24" s="124"/>
      <c r="C24" s="124"/>
      <c r="D24" s="124"/>
      <c r="E24" s="124"/>
      <c r="F24" s="124"/>
      <c r="G24" s="124"/>
      <c r="H24" s="124"/>
      <c r="I24" s="124"/>
    </row>
    <row r="25" spans="1:9" ht="12.75">
      <c r="A25" s="114" t="s">
        <v>13</v>
      </c>
      <c r="B25" s="124"/>
      <c r="C25" s="124"/>
      <c r="D25" s="124"/>
      <c r="E25" s="124"/>
      <c r="F25" s="124"/>
      <c r="G25" s="124"/>
      <c r="H25" s="124"/>
      <c r="I25" s="124"/>
    </row>
    <row r="26" spans="1:9" ht="12.75">
      <c r="A26" s="116" t="s">
        <v>18</v>
      </c>
      <c r="B26" s="124">
        <v>3833</v>
      </c>
      <c r="C26" s="124">
        <v>3853</v>
      </c>
      <c r="D26" s="124">
        <v>3870</v>
      </c>
      <c r="E26" s="124">
        <v>3971</v>
      </c>
      <c r="F26" s="124">
        <v>4051</v>
      </c>
      <c r="G26" s="124">
        <v>4162</v>
      </c>
      <c r="H26" s="124">
        <v>4309</v>
      </c>
      <c r="I26" s="124">
        <v>4459</v>
      </c>
    </row>
    <row r="27" spans="1:9" ht="12.75">
      <c r="A27" s="116" t="s">
        <v>19</v>
      </c>
      <c r="B27" s="124">
        <f>1324+10</f>
        <v>1334</v>
      </c>
      <c r="C27" s="124">
        <v>1428</v>
      </c>
      <c r="D27" s="124">
        <v>1564</v>
      </c>
      <c r="E27" s="124">
        <v>1670</v>
      </c>
      <c r="F27" s="124">
        <v>1830</v>
      </c>
      <c r="G27" s="124">
        <v>1923</v>
      </c>
      <c r="H27" s="124">
        <v>1933</v>
      </c>
      <c r="I27" s="124">
        <v>2051</v>
      </c>
    </row>
    <row r="28" spans="1:9" s="127" customFormat="1" ht="12.75">
      <c r="A28" s="125" t="s">
        <v>4</v>
      </c>
      <c r="B28" s="126">
        <f aca="true" t="shared" si="3" ref="B28:I28">SUM(B26:B27)</f>
        <v>5167</v>
      </c>
      <c r="C28" s="126">
        <f t="shared" si="3"/>
        <v>5281</v>
      </c>
      <c r="D28" s="126">
        <f t="shared" si="3"/>
        <v>5434</v>
      </c>
      <c r="E28" s="126">
        <f t="shared" si="3"/>
        <v>5641</v>
      </c>
      <c r="F28" s="126">
        <f t="shared" si="3"/>
        <v>5881</v>
      </c>
      <c r="G28" s="126">
        <f t="shared" si="3"/>
        <v>6085</v>
      </c>
      <c r="H28" s="126">
        <f t="shared" si="3"/>
        <v>6242</v>
      </c>
      <c r="I28" s="126">
        <f t="shared" si="3"/>
        <v>6510</v>
      </c>
    </row>
    <row r="29" spans="1:9" s="127" customFormat="1" ht="12.75">
      <c r="A29" s="125"/>
      <c r="B29" s="129"/>
      <c r="C29" s="129"/>
      <c r="D29" s="129"/>
      <c r="E29" s="129"/>
      <c r="F29" s="129"/>
      <c r="G29" s="129"/>
      <c r="H29" s="129"/>
      <c r="I29" s="129"/>
    </row>
    <row r="30" spans="1:9" ht="12.75">
      <c r="A30" s="114" t="s">
        <v>113</v>
      </c>
      <c r="B30" s="124"/>
      <c r="C30" s="124"/>
      <c r="D30" s="124"/>
      <c r="E30" s="124"/>
      <c r="F30" s="124"/>
      <c r="G30" s="124"/>
      <c r="H30" s="124"/>
      <c r="I30" s="124"/>
    </row>
    <row r="31" spans="1:9" ht="12.75">
      <c r="A31" s="116" t="s">
        <v>18</v>
      </c>
      <c r="B31" s="124"/>
      <c r="C31" s="124"/>
      <c r="D31" s="124"/>
      <c r="E31" s="124"/>
      <c r="F31" s="124"/>
      <c r="G31" s="124"/>
      <c r="H31" s="124"/>
      <c r="I31" s="124">
        <v>673</v>
      </c>
    </row>
    <row r="32" spans="1:9" ht="12.75">
      <c r="A32" s="116" t="s">
        <v>19</v>
      </c>
      <c r="B32" s="124"/>
      <c r="C32" s="124"/>
      <c r="D32" s="124"/>
      <c r="E32" s="124"/>
      <c r="F32" s="124"/>
      <c r="G32" s="124"/>
      <c r="H32" s="124"/>
      <c r="I32" s="124">
        <v>310</v>
      </c>
    </row>
    <row r="33" spans="1:9" s="127" customFormat="1" ht="12.75">
      <c r="A33" s="125" t="s">
        <v>4</v>
      </c>
      <c r="B33" s="126"/>
      <c r="C33" s="126"/>
      <c r="D33" s="126"/>
      <c r="E33" s="126"/>
      <c r="F33" s="126"/>
      <c r="G33" s="126"/>
      <c r="H33" s="235"/>
      <c r="I33" s="126">
        <f>SUM(I31:I32)</f>
        <v>983</v>
      </c>
    </row>
    <row r="34" spans="1:9" ht="12.75">
      <c r="A34" s="116"/>
      <c r="B34" s="124"/>
      <c r="C34" s="124"/>
      <c r="D34" s="124"/>
      <c r="E34" s="124"/>
      <c r="F34" s="124"/>
      <c r="G34" s="124"/>
      <c r="H34" s="124"/>
      <c r="I34" s="124"/>
    </row>
    <row r="35" spans="1:9" ht="12.75">
      <c r="A35" s="114" t="s">
        <v>14</v>
      </c>
      <c r="B35" s="124"/>
      <c r="C35" s="124"/>
      <c r="D35" s="124"/>
      <c r="E35" s="124"/>
      <c r="F35" s="124"/>
      <c r="G35" s="124"/>
      <c r="H35" s="124"/>
      <c r="I35" s="124"/>
    </row>
    <row r="36" spans="1:9" ht="12.75">
      <c r="A36" s="116" t="s">
        <v>18</v>
      </c>
      <c r="B36" s="124">
        <v>5621</v>
      </c>
      <c r="C36" s="124">
        <v>5449</v>
      </c>
      <c r="D36" s="124">
        <v>5353</v>
      </c>
      <c r="E36" s="124">
        <v>5360</v>
      </c>
      <c r="F36" s="124">
        <v>5341</v>
      </c>
      <c r="G36" s="124">
        <v>5395</v>
      </c>
      <c r="H36" s="124">
        <v>5401</v>
      </c>
      <c r="I36" s="124">
        <v>5477</v>
      </c>
    </row>
    <row r="37" spans="1:9" ht="12.75">
      <c r="A37" s="116" t="s">
        <v>19</v>
      </c>
      <c r="B37" s="124">
        <v>3807</v>
      </c>
      <c r="C37" s="124">
        <v>3903</v>
      </c>
      <c r="D37" s="124">
        <v>4059</v>
      </c>
      <c r="E37" s="124">
        <v>4116</v>
      </c>
      <c r="F37" s="124">
        <v>4248</v>
      </c>
      <c r="G37" s="124">
        <v>4350</v>
      </c>
      <c r="H37" s="124">
        <v>4742</v>
      </c>
      <c r="I37" s="124">
        <v>4807</v>
      </c>
    </row>
    <row r="38" spans="1:9" s="127" customFormat="1" ht="12.75">
      <c r="A38" s="125" t="s">
        <v>4</v>
      </c>
      <c r="B38" s="126">
        <f aca="true" t="shared" si="4" ref="B38:I38">SUM(B36:B37)</f>
        <v>9428</v>
      </c>
      <c r="C38" s="126">
        <f t="shared" si="4"/>
        <v>9352</v>
      </c>
      <c r="D38" s="126">
        <f t="shared" si="4"/>
        <v>9412</v>
      </c>
      <c r="E38" s="126">
        <f t="shared" si="4"/>
        <v>9476</v>
      </c>
      <c r="F38" s="126">
        <f t="shared" si="4"/>
        <v>9589</v>
      </c>
      <c r="G38" s="126">
        <f t="shared" si="4"/>
        <v>9745</v>
      </c>
      <c r="H38" s="126">
        <f t="shared" si="4"/>
        <v>10143</v>
      </c>
      <c r="I38" s="126">
        <f t="shared" si="4"/>
        <v>10284</v>
      </c>
    </row>
    <row r="39" spans="1:9" s="127" customFormat="1" ht="12.75">
      <c r="A39" s="125"/>
      <c r="B39" s="129"/>
      <c r="C39" s="129"/>
      <c r="D39" s="129"/>
      <c r="E39" s="129"/>
      <c r="F39" s="129"/>
      <c r="G39" s="129"/>
      <c r="H39" s="129"/>
      <c r="I39" s="129"/>
    </row>
    <row r="40" spans="1:9" s="40" customFormat="1" ht="12.75">
      <c r="A40" s="213" t="s">
        <v>68</v>
      </c>
      <c r="B40" s="42"/>
      <c r="C40" s="42"/>
      <c r="D40" s="42"/>
      <c r="E40" s="42"/>
      <c r="F40" s="42"/>
      <c r="G40" s="42"/>
      <c r="H40" s="42"/>
      <c r="I40" s="42"/>
    </row>
    <row r="41" spans="1:9" s="40" customFormat="1" ht="12.75">
      <c r="A41" s="29" t="s">
        <v>18</v>
      </c>
      <c r="B41" s="42"/>
      <c r="C41" s="42"/>
      <c r="D41" s="42"/>
      <c r="E41" s="42"/>
      <c r="F41" s="42"/>
      <c r="G41" s="42"/>
      <c r="H41" s="42">
        <v>0</v>
      </c>
      <c r="I41" s="42">
        <v>0</v>
      </c>
    </row>
    <row r="42" spans="1:9" s="40" customFormat="1" ht="12.75">
      <c r="A42" s="29" t="s">
        <v>19</v>
      </c>
      <c r="B42" s="42"/>
      <c r="C42" s="42"/>
      <c r="D42" s="42"/>
      <c r="E42" s="42"/>
      <c r="F42" s="42"/>
      <c r="G42" s="42"/>
      <c r="H42" s="37">
        <v>736</v>
      </c>
      <c r="I42" s="37">
        <v>772</v>
      </c>
    </row>
    <row r="43" spans="1:9" s="40" customFormat="1" ht="12.75">
      <c r="A43" s="38" t="s">
        <v>4</v>
      </c>
      <c r="B43" s="39"/>
      <c r="C43" s="39"/>
      <c r="D43" s="39"/>
      <c r="E43" s="39"/>
      <c r="F43" s="39"/>
      <c r="G43" s="231"/>
      <c r="H43" s="39">
        <f>H41+H42</f>
        <v>736</v>
      </c>
      <c r="I43" s="39">
        <f>I41+I42</f>
        <v>772</v>
      </c>
    </row>
    <row r="44" spans="1:9" ht="12.75">
      <c r="A44" s="125"/>
      <c r="B44" s="124"/>
      <c r="C44" s="124"/>
      <c r="D44" s="124"/>
      <c r="E44" s="124"/>
      <c r="F44" s="124"/>
      <c r="G44" s="124"/>
      <c r="H44" s="124"/>
      <c r="I44" s="124"/>
    </row>
    <row r="45" spans="1:9" ht="12.75">
      <c r="A45" s="1" t="s">
        <v>61</v>
      </c>
      <c r="B45" s="124"/>
      <c r="C45" s="124"/>
      <c r="D45" s="124"/>
      <c r="E45" s="124"/>
      <c r="F45" s="124"/>
      <c r="G45" s="124"/>
      <c r="H45" s="124"/>
      <c r="I45" s="124"/>
    </row>
    <row r="46" spans="1:9" ht="12.75">
      <c r="A46" s="116" t="s">
        <v>18</v>
      </c>
      <c r="B46" s="124">
        <v>2049</v>
      </c>
      <c r="C46" s="124">
        <v>2305</v>
      </c>
      <c r="D46" s="124">
        <v>2541</v>
      </c>
      <c r="E46" s="124">
        <v>2748</v>
      </c>
      <c r="F46" s="124">
        <v>2940</v>
      </c>
      <c r="G46" s="124">
        <v>3057</v>
      </c>
      <c r="H46" s="124">
        <v>3118</v>
      </c>
      <c r="I46" s="124">
        <v>3218</v>
      </c>
    </row>
    <row r="47" spans="1:9" ht="12.75">
      <c r="A47" s="116" t="s">
        <v>19</v>
      </c>
      <c r="B47" s="124">
        <v>2576</v>
      </c>
      <c r="C47" s="124">
        <v>2556</v>
      </c>
      <c r="D47" s="124">
        <v>2576</v>
      </c>
      <c r="E47" s="124">
        <v>2388</v>
      </c>
      <c r="F47" s="124">
        <v>2469</v>
      </c>
      <c r="G47" s="124">
        <v>2366</v>
      </c>
      <c r="H47" s="124">
        <v>2391</v>
      </c>
      <c r="I47" s="124">
        <v>2346</v>
      </c>
    </row>
    <row r="48" spans="1:9" s="127" customFormat="1" ht="12.75">
      <c r="A48" s="125" t="s">
        <v>4</v>
      </c>
      <c r="B48" s="126">
        <f aca="true" t="shared" si="5" ref="B48:I48">SUM(B46:B47)</f>
        <v>4625</v>
      </c>
      <c r="C48" s="126">
        <f t="shared" si="5"/>
        <v>4861</v>
      </c>
      <c r="D48" s="126">
        <f t="shared" si="5"/>
        <v>5117</v>
      </c>
      <c r="E48" s="126">
        <f t="shared" si="5"/>
        <v>5136</v>
      </c>
      <c r="F48" s="126">
        <f t="shared" si="5"/>
        <v>5409</v>
      </c>
      <c r="G48" s="126">
        <f t="shared" si="5"/>
        <v>5423</v>
      </c>
      <c r="H48" s="126">
        <f t="shared" si="5"/>
        <v>5509</v>
      </c>
      <c r="I48" s="126">
        <f t="shared" si="5"/>
        <v>5564</v>
      </c>
    </row>
    <row r="49" spans="1:9" ht="12.75">
      <c r="A49" s="116"/>
      <c r="B49" s="124"/>
      <c r="C49" s="124"/>
      <c r="D49" s="124"/>
      <c r="E49" s="124"/>
      <c r="F49" s="124"/>
      <c r="G49" s="124"/>
      <c r="H49" s="124"/>
      <c r="I49" s="124"/>
    </row>
    <row r="50" spans="1:9" ht="12.75">
      <c r="A50" s="1" t="s">
        <v>62</v>
      </c>
      <c r="B50" s="124"/>
      <c r="C50" s="124"/>
      <c r="D50" s="124"/>
      <c r="E50" s="124"/>
      <c r="F50" s="124"/>
      <c r="G50" s="124"/>
      <c r="H50" s="124"/>
      <c r="I50" s="124"/>
    </row>
    <row r="51" spans="1:9" ht="12.75">
      <c r="A51" s="116" t="s">
        <v>18</v>
      </c>
      <c r="B51" s="124">
        <v>311</v>
      </c>
      <c r="C51" s="124">
        <v>357</v>
      </c>
      <c r="D51" s="124">
        <v>375</v>
      </c>
      <c r="E51" s="124">
        <v>405</v>
      </c>
      <c r="F51" s="124">
        <v>439</v>
      </c>
      <c r="G51" s="124">
        <v>457</v>
      </c>
      <c r="H51" s="124">
        <v>469</v>
      </c>
      <c r="I51" s="124">
        <v>500</v>
      </c>
    </row>
    <row r="52" spans="1:9" ht="12.75">
      <c r="A52" s="116" t="s">
        <v>19</v>
      </c>
      <c r="B52" s="124">
        <v>971</v>
      </c>
      <c r="C52" s="124">
        <v>930</v>
      </c>
      <c r="D52" s="124">
        <v>871</v>
      </c>
      <c r="E52" s="124">
        <v>824</v>
      </c>
      <c r="F52" s="124">
        <v>794</v>
      </c>
      <c r="G52" s="124">
        <v>805</v>
      </c>
      <c r="H52" s="124">
        <v>756</v>
      </c>
      <c r="I52" s="124">
        <v>753</v>
      </c>
    </row>
    <row r="53" spans="1:9" s="127" customFormat="1" ht="12.75">
      <c r="A53" s="125" t="s">
        <v>4</v>
      </c>
      <c r="B53" s="126">
        <f aca="true" t="shared" si="6" ref="B53:I53">SUM(B51:B52)</f>
        <v>1282</v>
      </c>
      <c r="C53" s="126">
        <f t="shared" si="6"/>
        <v>1287</v>
      </c>
      <c r="D53" s="126">
        <f t="shared" si="6"/>
        <v>1246</v>
      </c>
      <c r="E53" s="126">
        <f t="shared" si="6"/>
        <v>1229</v>
      </c>
      <c r="F53" s="126">
        <f t="shared" si="6"/>
        <v>1233</v>
      </c>
      <c r="G53" s="126">
        <f t="shared" si="6"/>
        <v>1262</v>
      </c>
      <c r="H53" s="126">
        <f t="shared" si="6"/>
        <v>1225</v>
      </c>
      <c r="I53" s="126">
        <f t="shared" si="6"/>
        <v>1253</v>
      </c>
    </row>
    <row r="54" spans="1:9" s="127" customFormat="1" ht="12.75">
      <c r="A54" s="125"/>
      <c r="B54" s="129"/>
      <c r="C54" s="129"/>
      <c r="D54" s="129"/>
      <c r="E54" s="129"/>
      <c r="F54" s="129"/>
      <c r="G54" s="129"/>
      <c r="H54" s="129"/>
      <c r="I54" s="129"/>
    </row>
    <row r="55" spans="1:9" ht="12.75">
      <c r="A55" s="114" t="s">
        <v>15</v>
      </c>
      <c r="B55" s="124"/>
      <c r="C55" s="124"/>
      <c r="D55" s="124"/>
      <c r="E55" s="124"/>
      <c r="F55" s="124"/>
      <c r="G55" s="124"/>
      <c r="H55" s="124"/>
      <c r="I55" s="124"/>
    </row>
    <row r="56" spans="1:9" ht="12.75">
      <c r="A56" s="116" t="s">
        <v>18</v>
      </c>
      <c r="B56" s="124">
        <v>3164</v>
      </c>
      <c r="C56" s="124">
        <v>3173</v>
      </c>
      <c r="D56" s="124">
        <v>3226</v>
      </c>
      <c r="E56" s="124">
        <v>3294</v>
      </c>
      <c r="F56" s="124">
        <v>3339</v>
      </c>
      <c r="G56" s="124">
        <v>3439</v>
      </c>
      <c r="H56" s="124">
        <v>3494</v>
      </c>
      <c r="I56" s="124">
        <v>3575</v>
      </c>
    </row>
    <row r="57" spans="1:9" ht="12.75">
      <c r="A57" s="116" t="s">
        <v>19</v>
      </c>
      <c r="B57" s="124">
        <v>1275</v>
      </c>
      <c r="C57" s="124">
        <v>1373</v>
      </c>
      <c r="D57" s="124">
        <v>1467</v>
      </c>
      <c r="E57" s="124">
        <v>1579</v>
      </c>
      <c r="F57" s="124">
        <v>1661</v>
      </c>
      <c r="G57" s="124">
        <v>1715</v>
      </c>
      <c r="H57" s="124">
        <v>1708</v>
      </c>
      <c r="I57" s="124">
        <v>1706</v>
      </c>
    </row>
    <row r="58" spans="1:9" s="127" customFormat="1" ht="12.75">
      <c r="A58" s="125" t="s">
        <v>4</v>
      </c>
      <c r="B58" s="126">
        <f aca="true" t="shared" si="7" ref="B58:I58">SUM(B56:B57)</f>
        <v>4439</v>
      </c>
      <c r="C58" s="126">
        <f t="shared" si="7"/>
        <v>4546</v>
      </c>
      <c r="D58" s="126">
        <f t="shared" si="7"/>
        <v>4693</v>
      </c>
      <c r="E58" s="126">
        <f t="shared" si="7"/>
        <v>4873</v>
      </c>
      <c r="F58" s="126">
        <f t="shared" si="7"/>
        <v>5000</v>
      </c>
      <c r="G58" s="126">
        <f t="shared" si="7"/>
        <v>5154</v>
      </c>
      <c r="H58" s="126">
        <f t="shared" si="7"/>
        <v>5202</v>
      </c>
      <c r="I58" s="126">
        <f t="shared" si="7"/>
        <v>5281</v>
      </c>
    </row>
    <row r="59" spans="1:9" ht="12.75">
      <c r="A59" s="125"/>
      <c r="B59" s="124"/>
      <c r="C59" s="124"/>
      <c r="D59" s="124"/>
      <c r="E59" s="124"/>
      <c r="F59" s="124"/>
      <c r="G59" s="124"/>
      <c r="H59" s="124"/>
      <c r="I59" s="124"/>
    </row>
    <row r="60" spans="1:9" ht="12.75">
      <c r="A60" s="192"/>
      <c r="B60" s="193"/>
      <c r="C60" s="193"/>
      <c r="D60" s="193"/>
      <c r="E60" s="193"/>
      <c r="F60" s="193"/>
      <c r="G60" s="193"/>
      <c r="H60" s="193"/>
      <c r="I60" s="193"/>
    </row>
    <row r="61" spans="1:9" ht="12.75">
      <c r="A61" s="130" t="s">
        <v>71</v>
      </c>
      <c r="B61" s="124"/>
      <c r="C61" s="124"/>
      <c r="D61" s="124"/>
      <c r="E61" s="124"/>
      <c r="F61" s="124"/>
      <c r="G61" s="124"/>
      <c r="H61" s="124"/>
      <c r="I61" s="124"/>
    </row>
    <row r="62" spans="1:9" ht="12.75">
      <c r="A62" s="116" t="s">
        <v>18</v>
      </c>
      <c r="B62" s="124">
        <f aca="true" t="shared" si="8" ref="B62:H63">SUM(B11,B16,B21,B26,B36,B46,B51,B56)</f>
        <v>104931</v>
      </c>
      <c r="C62" s="124">
        <f t="shared" si="8"/>
        <v>106238</v>
      </c>
      <c r="D62" s="124">
        <f t="shared" si="8"/>
        <v>105824</v>
      </c>
      <c r="E62" s="124">
        <f t="shared" si="8"/>
        <v>106830</v>
      </c>
      <c r="F62" s="124">
        <f t="shared" si="8"/>
        <v>106286</v>
      </c>
      <c r="G62" s="124">
        <f t="shared" si="8"/>
        <v>106613</v>
      </c>
      <c r="H62" s="124">
        <f t="shared" si="8"/>
        <v>107005</v>
      </c>
      <c r="I62" s="124">
        <f>SUM(I11,I16,I21,I26,I31,I36,I46,I51,I56)</f>
        <v>108248</v>
      </c>
    </row>
    <row r="63" spans="1:9" ht="12.75">
      <c r="A63" s="116" t="s">
        <v>19</v>
      </c>
      <c r="B63" s="124">
        <f t="shared" si="8"/>
        <v>40911</v>
      </c>
      <c r="C63" s="124">
        <f t="shared" si="8"/>
        <v>40959</v>
      </c>
      <c r="D63" s="124">
        <f t="shared" si="8"/>
        <v>42126</v>
      </c>
      <c r="E63" s="124">
        <f t="shared" si="8"/>
        <v>41991</v>
      </c>
      <c r="F63" s="124">
        <f t="shared" si="8"/>
        <v>43268</v>
      </c>
      <c r="G63" s="124">
        <f t="shared" si="8"/>
        <v>43905</v>
      </c>
      <c r="H63" s="124">
        <f t="shared" si="8"/>
        <v>45299</v>
      </c>
      <c r="I63" s="124">
        <f>SUM(I12,I17,I22,I27,I32,I37,I47,I52,I57)</f>
        <v>45422</v>
      </c>
    </row>
    <row r="64" spans="1:9" s="127" customFormat="1" ht="12.75">
      <c r="A64" s="125" t="s">
        <v>4</v>
      </c>
      <c r="B64" s="126">
        <f aca="true" t="shared" si="9" ref="B64:I64">SUM(B62:B63)</f>
        <v>145842</v>
      </c>
      <c r="C64" s="126">
        <f t="shared" si="9"/>
        <v>147197</v>
      </c>
      <c r="D64" s="126">
        <f t="shared" si="9"/>
        <v>147950</v>
      </c>
      <c r="E64" s="126">
        <f t="shared" si="9"/>
        <v>148821</v>
      </c>
      <c r="F64" s="126">
        <f t="shared" si="9"/>
        <v>149554</v>
      </c>
      <c r="G64" s="126">
        <f t="shared" si="9"/>
        <v>150518</v>
      </c>
      <c r="H64" s="126">
        <f t="shared" si="9"/>
        <v>152304</v>
      </c>
      <c r="I64" s="126">
        <f t="shared" si="9"/>
        <v>153670</v>
      </c>
    </row>
    <row r="65" spans="1:9" s="229" customFormat="1" ht="8.25" customHeight="1">
      <c r="A65" s="224"/>
      <c r="B65" s="37"/>
      <c r="C65" s="214"/>
      <c r="D65" s="214"/>
      <c r="E65" s="214"/>
      <c r="F65" s="214"/>
      <c r="G65" s="215"/>
      <c r="H65" s="37"/>
      <c r="I65" s="37"/>
    </row>
    <row r="66" spans="1:9" s="28" customFormat="1" ht="12.75">
      <c r="A66" s="43" t="s">
        <v>72</v>
      </c>
      <c r="B66" s="37"/>
      <c r="C66" s="214"/>
      <c r="D66" s="214"/>
      <c r="E66" s="214"/>
      <c r="F66" s="214"/>
      <c r="G66" s="215"/>
      <c r="H66" s="37"/>
      <c r="I66" s="37"/>
    </row>
    <row r="67" spans="1:9" s="28" customFormat="1" ht="12.75">
      <c r="A67" s="29" t="s">
        <v>18</v>
      </c>
      <c r="B67" s="225"/>
      <c r="C67"/>
      <c r="D67"/>
      <c r="E67"/>
      <c r="F67"/>
      <c r="G67"/>
      <c r="H67" s="37">
        <f>SUM(H11,H16,H21,H26,H36,H46,H51,H56,H41)</f>
        <v>107005</v>
      </c>
      <c r="I67" s="37">
        <f>SUM(I11,I16,I21,I26,I31,I36,I46,I51,I56,I41)</f>
        <v>108248</v>
      </c>
    </row>
    <row r="68" spans="1:9" s="28" customFormat="1" ht="12.75">
      <c r="A68" s="29" t="s">
        <v>19</v>
      </c>
      <c r="B68" s="225"/>
      <c r="C68"/>
      <c r="D68"/>
      <c r="E68"/>
      <c r="F68"/>
      <c r="G68"/>
      <c r="H68" s="37">
        <f>SUM(H12,H17,H22,H27,H37,H47,H52,H57,H42)</f>
        <v>46035</v>
      </c>
      <c r="I68" s="37">
        <f>SUM(I12,I17,I22,I27,I32,I37,I47,I52,I57,I42)</f>
        <v>46194</v>
      </c>
    </row>
    <row r="69" spans="1:9" s="40" customFormat="1" ht="12.75">
      <c r="A69" s="38" t="s">
        <v>4</v>
      </c>
      <c r="B69" s="226"/>
      <c r="C69" s="227"/>
      <c r="D69" s="227"/>
      <c r="E69" s="227"/>
      <c r="F69" s="227"/>
      <c r="G69" s="228"/>
      <c r="H69" s="39">
        <f>SUM(H67:H68)</f>
        <v>153040</v>
      </c>
      <c r="I69" s="39">
        <f>SUM(I67:I68)</f>
        <v>154442</v>
      </c>
    </row>
    <row r="71" ht="12.75">
      <c r="A71" s="244" t="s">
        <v>114</v>
      </c>
    </row>
  </sheetData>
  <mergeCells count="2">
    <mergeCell ref="A2:I2"/>
    <mergeCell ref="A4:I4"/>
  </mergeCells>
  <printOptions horizontalCentered="1"/>
  <pageMargins left="0.1968503937007874" right="0.1968503937007874" top="0.5905511811023623" bottom="0.3937007874015748" header="0.5118110236220472" footer="0.5118110236220472"/>
  <pageSetup fitToHeight="1" fitToWidth="1" orientation="portrait" paperSize="9" scale="85" r:id="rId1"/>
  <headerFooter alignWithMargins="0">
    <oddFooter>&amp;R&amp;A</oddFooter>
  </headerFooter>
  <rowBreaks count="1" manualBreakCount="1">
    <brk id="48" max="8" man="1"/>
  </rowBreaks>
</worksheet>
</file>

<file path=xl/worksheets/sheet11.xml><?xml version="1.0" encoding="utf-8"?>
<worksheet xmlns="http://schemas.openxmlformats.org/spreadsheetml/2006/main" xmlns:r="http://schemas.openxmlformats.org/officeDocument/2006/relationships">
  <sheetPr codeName="Blad10">
    <pageSetUpPr fitToPage="1"/>
  </sheetPr>
  <dimension ref="A1:J39"/>
  <sheetViews>
    <sheetView workbookViewId="0" topLeftCell="A1">
      <selection activeCell="A29" sqref="A29"/>
    </sheetView>
  </sheetViews>
  <sheetFormatPr defaultColWidth="9.140625" defaultRowHeight="12.75"/>
  <cols>
    <col min="1" max="1" width="28.00390625" style="0" customWidth="1"/>
    <col min="2" max="2" width="11.00390625" style="0" customWidth="1"/>
    <col min="3" max="4" width="10.28125" style="0" customWidth="1"/>
    <col min="10" max="10" width="10.7109375" style="0" customWidth="1"/>
    <col min="13" max="13" width="8.00390625" style="0" customWidth="1"/>
  </cols>
  <sheetData>
    <row r="1" spans="1:10" ht="12.75">
      <c r="A1" s="1" t="s">
        <v>81</v>
      </c>
      <c r="B1" s="2"/>
      <c r="C1" s="2"/>
      <c r="D1" s="2"/>
      <c r="E1" s="2"/>
      <c r="F1" s="2"/>
      <c r="G1" s="2"/>
      <c r="H1" s="2"/>
      <c r="I1" s="2"/>
      <c r="J1" s="2"/>
    </row>
    <row r="2" spans="1:10" ht="12.75">
      <c r="A2" s="5" t="s">
        <v>40</v>
      </c>
      <c r="B2" s="6"/>
      <c r="C2" s="6"/>
      <c r="D2" s="6"/>
      <c r="E2" s="7"/>
      <c r="F2" s="7"/>
      <c r="G2" s="6"/>
      <c r="H2" s="6"/>
      <c r="I2" s="6"/>
      <c r="J2" s="6"/>
    </row>
    <row r="3" spans="1:10" ht="12.75">
      <c r="A3" s="6"/>
      <c r="B3" s="6"/>
      <c r="C3" s="6"/>
      <c r="D3" s="6"/>
      <c r="E3" s="7"/>
      <c r="F3" s="5"/>
      <c r="G3" s="6"/>
      <c r="H3" s="6"/>
      <c r="I3" s="6"/>
      <c r="J3" s="6"/>
    </row>
    <row r="4" spans="1:10" ht="12.75">
      <c r="A4" s="5" t="s">
        <v>85</v>
      </c>
      <c r="B4" s="6"/>
      <c r="C4" s="6"/>
      <c r="D4" s="6"/>
      <c r="E4" s="7"/>
      <c r="F4" s="7"/>
      <c r="G4" s="6"/>
      <c r="H4" s="6"/>
      <c r="I4" s="6"/>
      <c r="J4" s="6"/>
    </row>
    <row r="5" spans="1:10" ht="12.75">
      <c r="A5" s="4"/>
      <c r="B5" s="4"/>
      <c r="C5" s="4"/>
      <c r="D5" s="4"/>
      <c r="E5" s="4"/>
      <c r="F5" s="4"/>
      <c r="G5" s="4"/>
      <c r="H5" s="4"/>
      <c r="I5" s="4"/>
      <c r="J5" s="4"/>
    </row>
    <row r="6" spans="1:10" ht="12.75">
      <c r="A6" s="5" t="s">
        <v>76</v>
      </c>
      <c r="B6" s="61"/>
      <c r="C6" s="61"/>
      <c r="D6" s="61"/>
      <c r="E6" s="61"/>
      <c r="F6" s="62"/>
      <c r="G6" s="61"/>
      <c r="H6" s="61"/>
      <c r="I6" s="61"/>
      <c r="J6" s="61"/>
    </row>
    <row r="7" spans="1:10" ht="13.5" thickBot="1">
      <c r="A7" s="2"/>
      <c r="B7" s="12"/>
      <c r="C7" s="12"/>
      <c r="D7" s="12"/>
      <c r="E7" s="12"/>
      <c r="F7" s="12"/>
      <c r="G7" s="12"/>
      <c r="H7" s="12"/>
      <c r="I7" s="12"/>
      <c r="J7" s="12"/>
    </row>
    <row r="8" spans="1:10" ht="12.75">
      <c r="A8" s="63"/>
      <c r="B8" s="64" t="s">
        <v>24</v>
      </c>
      <c r="C8" s="65"/>
      <c r="D8" s="65"/>
      <c r="E8" s="64" t="s">
        <v>25</v>
      </c>
      <c r="F8" s="65"/>
      <c r="G8" s="65"/>
      <c r="H8" s="64" t="s">
        <v>4</v>
      </c>
      <c r="I8" s="65"/>
      <c r="J8" s="65"/>
    </row>
    <row r="9" spans="1:10" ht="12.75">
      <c r="A9" s="204" t="s">
        <v>26</v>
      </c>
      <c r="B9" s="67" t="s">
        <v>5</v>
      </c>
      <c r="C9" s="68" t="s">
        <v>6</v>
      </c>
      <c r="D9" s="68" t="s">
        <v>4</v>
      </c>
      <c r="E9" s="67" t="s">
        <v>5</v>
      </c>
      <c r="F9" s="68" t="s">
        <v>6</v>
      </c>
      <c r="G9" s="68" t="s">
        <v>4</v>
      </c>
      <c r="H9" s="67" t="s">
        <v>5</v>
      </c>
      <c r="I9" s="68" t="s">
        <v>6</v>
      </c>
      <c r="J9" s="68" t="s">
        <v>4</v>
      </c>
    </row>
    <row r="10" spans="1:10" ht="12.75">
      <c r="A10" s="69"/>
      <c r="B10" s="13"/>
      <c r="C10" s="70"/>
      <c r="D10" s="70"/>
      <c r="E10" s="13"/>
      <c r="F10" s="70"/>
      <c r="G10" s="70"/>
      <c r="H10" s="13"/>
      <c r="I10" s="70"/>
      <c r="J10" s="70"/>
    </row>
    <row r="11" spans="1:10" ht="12.75">
      <c r="A11" s="2" t="s">
        <v>27</v>
      </c>
      <c r="B11" s="11">
        <f>0+0-0</f>
        <v>0</v>
      </c>
      <c r="C11" s="12">
        <f>3+0-0</f>
        <v>3</v>
      </c>
      <c r="D11" s="12">
        <f>SUM(B11:C11)</f>
        <v>3</v>
      </c>
      <c r="E11" s="11">
        <f>395+0-0-0</f>
        <v>395</v>
      </c>
      <c r="F11" s="12">
        <f>904+1-0-0</f>
        <v>905</v>
      </c>
      <c r="G11" s="12">
        <f aca="true" t="shared" si="0" ref="G11:G19">SUM(E11:F11)</f>
        <v>1300</v>
      </c>
      <c r="H11" s="11">
        <f>SUM(B11,E11)</f>
        <v>395</v>
      </c>
      <c r="I11" s="12">
        <f aca="true" t="shared" si="1" ref="I11:I19">SUM(C11,F11)</f>
        <v>908</v>
      </c>
      <c r="J11" s="12">
        <f aca="true" t="shared" si="2" ref="J11:J19">SUM(H11:I11)</f>
        <v>1303</v>
      </c>
    </row>
    <row r="12" spans="1:10" ht="12.75">
      <c r="A12" s="2" t="s">
        <v>28</v>
      </c>
      <c r="B12" s="11">
        <f>151+0-0</f>
        <v>151</v>
      </c>
      <c r="C12" s="12">
        <f>544+0-0</f>
        <v>544</v>
      </c>
      <c r="D12" s="12">
        <f aca="true" t="shared" si="3" ref="D12:D19">SUM(B12:C12)</f>
        <v>695</v>
      </c>
      <c r="E12" s="11">
        <f>620+1-0-1</f>
        <v>620</v>
      </c>
      <c r="F12" s="12">
        <f>2005+5-1-3</f>
        <v>2006</v>
      </c>
      <c r="G12" s="12">
        <f t="shared" si="0"/>
        <v>2626</v>
      </c>
      <c r="H12" s="11">
        <f aca="true" t="shared" si="4" ref="H12:H19">SUM(B12,E12)</f>
        <v>771</v>
      </c>
      <c r="I12" s="12">
        <f t="shared" si="1"/>
        <v>2550</v>
      </c>
      <c r="J12" s="12">
        <f t="shared" si="2"/>
        <v>3321</v>
      </c>
    </row>
    <row r="13" spans="1:10" ht="12.75">
      <c r="A13" s="2" t="s">
        <v>29</v>
      </c>
      <c r="B13" s="11">
        <f>367+1-0</f>
        <v>368</v>
      </c>
      <c r="C13" s="12">
        <f>1481+1-0</f>
        <v>1482</v>
      </c>
      <c r="D13" s="12">
        <f t="shared" si="3"/>
        <v>1850</v>
      </c>
      <c r="E13" s="11">
        <f>405+3-3-1</f>
        <v>404</v>
      </c>
      <c r="F13" s="12">
        <f>1304+2-0-8</f>
        <v>1298</v>
      </c>
      <c r="G13" s="12">
        <f t="shared" si="0"/>
        <v>1702</v>
      </c>
      <c r="H13" s="11">
        <f t="shared" si="4"/>
        <v>772</v>
      </c>
      <c r="I13" s="12">
        <f t="shared" si="1"/>
        <v>2780</v>
      </c>
      <c r="J13" s="12">
        <f t="shared" si="2"/>
        <v>3552</v>
      </c>
    </row>
    <row r="14" spans="1:10" ht="12.75">
      <c r="A14" s="2" t="s">
        <v>30</v>
      </c>
      <c r="B14" s="13">
        <f>344+1-1</f>
        <v>344</v>
      </c>
      <c r="C14" s="12">
        <f>1577+2-0</f>
        <v>1579</v>
      </c>
      <c r="D14" s="12">
        <f t="shared" si="3"/>
        <v>1923</v>
      </c>
      <c r="E14" s="11">
        <f>212+0-0-2</f>
        <v>210</v>
      </c>
      <c r="F14" s="12">
        <f>976+1-0-7</f>
        <v>970</v>
      </c>
      <c r="G14" s="12">
        <f t="shared" si="0"/>
        <v>1180</v>
      </c>
      <c r="H14" s="11">
        <f t="shared" si="4"/>
        <v>554</v>
      </c>
      <c r="I14" s="12">
        <f t="shared" si="1"/>
        <v>2549</v>
      </c>
      <c r="J14" s="12">
        <f t="shared" si="2"/>
        <v>3103</v>
      </c>
    </row>
    <row r="15" spans="1:10" ht="12.75">
      <c r="A15" s="2" t="s">
        <v>31</v>
      </c>
      <c r="B15" s="13">
        <f>324+8-0</f>
        <v>332</v>
      </c>
      <c r="C15" s="12">
        <f>1876+7-0</f>
        <v>1883</v>
      </c>
      <c r="D15" s="12">
        <f t="shared" si="3"/>
        <v>2215</v>
      </c>
      <c r="E15" s="11">
        <f>123+1-1-0</f>
        <v>123</v>
      </c>
      <c r="F15" s="12">
        <f>887+2-1-19</f>
        <v>869</v>
      </c>
      <c r="G15" s="12">
        <f t="shared" si="0"/>
        <v>992</v>
      </c>
      <c r="H15" s="11">
        <f t="shared" si="4"/>
        <v>455</v>
      </c>
      <c r="I15" s="12">
        <f t="shared" si="1"/>
        <v>2752</v>
      </c>
      <c r="J15" s="12">
        <f t="shared" si="2"/>
        <v>3207</v>
      </c>
    </row>
    <row r="16" spans="1:10" ht="12.75">
      <c r="A16" s="2" t="s">
        <v>32</v>
      </c>
      <c r="B16" s="13">
        <f>434+18-0</f>
        <v>452</v>
      </c>
      <c r="C16" s="12">
        <f>2861+33-4</f>
        <v>2890</v>
      </c>
      <c r="D16" s="12">
        <f t="shared" si="3"/>
        <v>3342</v>
      </c>
      <c r="E16" s="11">
        <f>104+2-0-0</f>
        <v>106</v>
      </c>
      <c r="F16" s="12">
        <f>722+1-0-18</f>
        <v>705</v>
      </c>
      <c r="G16" s="12">
        <f t="shared" si="0"/>
        <v>811</v>
      </c>
      <c r="H16" s="11">
        <f t="shared" si="4"/>
        <v>558</v>
      </c>
      <c r="I16" s="12">
        <f t="shared" si="1"/>
        <v>3595</v>
      </c>
      <c r="J16" s="12">
        <f t="shared" si="2"/>
        <v>4153</v>
      </c>
    </row>
    <row r="17" spans="1:10" ht="12.75">
      <c r="A17" s="2" t="s">
        <v>33</v>
      </c>
      <c r="B17" s="13">
        <f>768+63-9</f>
        <v>822</v>
      </c>
      <c r="C17" s="12">
        <f>2906+41-11</f>
        <v>2936</v>
      </c>
      <c r="D17" s="12">
        <f t="shared" si="3"/>
        <v>3758</v>
      </c>
      <c r="E17" s="11">
        <f>102+0-0-2</f>
        <v>100</v>
      </c>
      <c r="F17" s="12">
        <f>401+0-0-10</f>
        <v>391</v>
      </c>
      <c r="G17" s="12">
        <f t="shared" si="0"/>
        <v>491</v>
      </c>
      <c r="H17" s="11">
        <f t="shared" si="4"/>
        <v>922</v>
      </c>
      <c r="I17" s="12">
        <f t="shared" si="1"/>
        <v>3327</v>
      </c>
      <c r="J17" s="12">
        <f t="shared" si="2"/>
        <v>4249</v>
      </c>
    </row>
    <row r="18" spans="1:10" ht="12.75">
      <c r="A18" s="2" t="s">
        <v>34</v>
      </c>
      <c r="B18" s="13">
        <f>878+140-70</f>
        <v>948</v>
      </c>
      <c r="C18" s="12">
        <f>2347+177-143</f>
        <v>2381</v>
      </c>
      <c r="D18" s="12">
        <f t="shared" si="3"/>
        <v>3329</v>
      </c>
      <c r="E18" s="11">
        <f>41+0-0-0</f>
        <v>41</v>
      </c>
      <c r="F18" s="12">
        <f>133+0-0-4</f>
        <v>129</v>
      </c>
      <c r="G18" s="12">
        <f t="shared" si="0"/>
        <v>170</v>
      </c>
      <c r="H18" s="11">
        <f t="shared" si="4"/>
        <v>989</v>
      </c>
      <c r="I18" s="12">
        <f t="shared" si="1"/>
        <v>2510</v>
      </c>
      <c r="J18" s="12">
        <f t="shared" si="2"/>
        <v>3499</v>
      </c>
    </row>
    <row r="19" spans="1:10" ht="12.75">
      <c r="A19" s="2" t="s">
        <v>35</v>
      </c>
      <c r="B19" s="13">
        <f>295+106-55</f>
        <v>346</v>
      </c>
      <c r="C19" s="12">
        <f>637+111-103</f>
        <v>645</v>
      </c>
      <c r="D19" s="71">
        <f t="shared" si="3"/>
        <v>991</v>
      </c>
      <c r="E19" s="11">
        <f>18+0-0-0</f>
        <v>18</v>
      </c>
      <c r="F19" s="12">
        <f>22+1-0-1</f>
        <v>22</v>
      </c>
      <c r="G19" s="71">
        <f t="shared" si="0"/>
        <v>40</v>
      </c>
      <c r="H19" s="11">
        <f t="shared" si="4"/>
        <v>364</v>
      </c>
      <c r="I19" s="12">
        <f t="shared" si="1"/>
        <v>667</v>
      </c>
      <c r="J19" s="71">
        <f t="shared" si="2"/>
        <v>1031</v>
      </c>
    </row>
    <row r="20" spans="1:10" ht="12.75">
      <c r="A20" s="19" t="s">
        <v>4</v>
      </c>
      <c r="B20" s="72">
        <f aca="true" t="shared" si="5" ref="B20:J20">SUM(B11:B19)</f>
        <v>3763</v>
      </c>
      <c r="C20" s="73">
        <f t="shared" si="5"/>
        <v>14343</v>
      </c>
      <c r="D20" s="73">
        <f t="shared" si="5"/>
        <v>18106</v>
      </c>
      <c r="E20" s="72">
        <f t="shared" si="5"/>
        <v>2017</v>
      </c>
      <c r="F20" s="73">
        <f t="shared" si="5"/>
        <v>7295</v>
      </c>
      <c r="G20" s="73">
        <f t="shared" si="5"/>
        <v>9312</v>
      </c>
      <c r="H20" s="72">
        <f t="shared" si="5"/>
        <v>5780</v>
      </c>
      <c r="I20" s="73">
        <f t="shared" si="5"/>
        <v>21638</v>
      </c>
      <c r="J20" s="73">
        <f t="shared" si="5"/>
        <v>27418</v>
      </c>
    </row>
    <row r="21" spans="1:10" ht="12.75">
      <c r="A21" s="4"/>
      <c r="B21" s="4"/>
      <c r="C21" s="4"/>
      <c r="D21" s="4"/>
      <c r="E21" s="4"/>
      <c r="F21" s="4"/>
      <c r="G21" s="4"/>
      <c r="H21" s="4"/>
      <c r="I21" s="4"/>
      <c r="J21" s="4"/>
    </row>
    <row r="23" spans="1:10" ht="12.75">
      <c r="A23" s="5" t="s">
        <v>77</v>
      </c>
      <c r="B23" s="61"/>
      <c r="C23" s="61"/>
      <c r="D23" s="61"/>
      <c r="E23" s="61"/>
      <c r="F23" s="62"/>
      <c r="G23" s="61"/>
      <c r="H23" s="61"/>
      <c r="I23" s="61"/>
      <c r="J23" s="61"/>
    </row>
    <row r="24" spans="1:10" ht="13.5" thickBot="1">
      <c r="A24" s="2"/>
      <c r="B24" s="12"/>
      <c r="C24" s="12"/>
      <c r="D24" s="12"/>
      <c r="E24" s="12"/>
      <c r="F24" s="12"/>
      <c r="G24" s="12"/>
      <c r="H24" s="12"/>
      <c r="I24" s="12"/>
      <c r="J24" s="12"/>
    </row>
    <row r="25" spans="1:10" ht="12.75">
      <c r="A25" s="63"/>
      <c r="B25" s="64" t="s">
        <v>24</v>
      </c>
      <c r="C25" s="65"/>
      <c r="D25" s="65"/>
      <c r="E25" s="64" t="s">
        <v>25</v>
      </c>
      <c r="F25" s="65"/>
      <c r="G25" s="65"/>
      <c r="H25" s="64" t="s">
        <v>4</v>
      </c>
      <c r="I25" s="65"/>
      <c r="J25" s="65"/>
    </row>
    <row r="26" spans="1:10" ht="12.75">
      <c r="A26" s="204" t="s">
        <v>26</v>
      </c>
      <c r="B26" s="67" t="s">
        <v>5</v>
      </c>
      <c r="C26" s="68" t="s">
        <v>6</v>
      </c>
      <c r="D26" s="68" t="s">
        <v>4</v>
      </c>
      <c r="E26" s="67" t="s">
        <v>5</v>
      </c>
      <c r="F26" s="68" t="s">
        <v>6</v>
      </c>
      <c r="G26" s="68" t="s">
        <v>4</v>
      </c>
      <c r="H26" s="67" t="s">
        <v>5</v>
      </c>
      <c r="I26" s="68" t="s">
        <v>6</v>
      </c>
      <c r="J26" s="68" t="s">
        <v>4</v>
      </c>
    </row>
    <row r="27" spans="1:10" ht="12.75">
      <c r="A27" s="69"/>
      <c r="B27" s="13"/>
      <c r="C27" s="70"/>
      <c r="D27" s="70"/>
      <c r="E27" s="13"/>
      <c r="F27" s="70"/>
      <c r="G27" s="70"/>
      <c r="H27" s="13"/>
      <c r="I27" s="70"/>
      <c r="J27" s="70"/>
    </row>
    <row r="28" spans="1:10" ht="12.75">
      <c r="A28" s="2" t="s">
        <v>27</v>
      </c>
      <c r="B28" s="11">
        <f>0+0-0</f>
        <v>0</v>
      </c>
      <c r="C28" s="12">
        <f>3+0-0</f>
        <v>3</v>
      </c>
      <c r="D28" s="12">
        <f>SUM(B28:C28)</f>
        <v>3</v>
      </c>
      <c r="E28" s="11">
        <f>395+0-0</f>
        <v>395</v>
      </c>
      <c r="F28" s="12">
        <f>904+1-0</f>
        <v>905</v>
      </c>
      <c r="G28" s="12">
        <f aca="true" t="shared" si="6" ref="G28:G36">SUM(E28:F28)</f>
        <v>1300</v>
      </c>
      <c r="H28" s="11">
        <f>SUM(B28,E28)</f>
        <v>395</v>
      </c>
      <c r="I28" s="12">
        <f aca="true" t="shared" si="7" ref="I28:I36">SUM(C28,F28)</f>
        <v>908</v>
      </c>
      <c r="J28" s="12">
        <f aca="true" t="shared" si="8" ref="J28:J36">SUM(H28:I28)</f>
        <v>1303</v>
      </c>
    </row>
    <row r="29" spans="1:10" ht="12.75">
      <c r="A29" s="2" t="s">
        <v>28</v>
      </c>
      <c r="B29" s="11">
        <f>151+0-0</f>
        <v>151</v>
      </c>
      <c r="C29" s="12">
        <f>544+0-0</f>
        <v>544</v>
      </c>
      <c r="D29" s="12">
        <f aca="true" t="shared" si="9" ref="D29:D36">SUM(B29:C29)</f>
        <v>695</v>
      </c>
      <c r="E29" s="11">
        <f>620+1-0</f>
        <v>621</v>
      </c>
      <c r="F29" s="12">
        <f>2005+5-1</f>
        <v>2009</v>
      </c>
      <c r="G29" s="12">
        <f t="shared" si="6"/>
        <v>2630</v>
      </c>
      <c r="H29" s="11">
        <f aca="true" t="shared" si="10" ref="H29:H36">SUM(B29,E29)</f>
        <v>772</v>
      </c>
      <c r="I29" s="12">
        <f t="shared" si="7"/>
        <v>2553</v>
      </c>
      <c r="J29" s="12">
        <f t="shared" si="8"/>
        <v>3325</v>
      </c>
    </row>
    <row r="30" spans="1:10" ht="12.75">
      <c r="A30" s="2" t="s">
        <v>29</v>
      </c>
      <c r="B30" s="11">
        <f>367+1-0</f>
        <v>368</v>
      </c>
      <c r="C30" s="12">
        <f>1481+1-0</f>
        <v>1482</v>
      </c>
      <c r="D30" s="12">
        <f t="shared" si="9"/>
        <v>1850</v>
      </c>
      <c r="E30" s="11">
        <f>405+3-3</f>
        <v>405</v>
      </c>
      <c r="F30" s="12">
        <f>1304+2-0</f>
        <v>1306</v>
      </c>
      <c r="G30" s="12">
        <f t="shared" si="6"/>
        <v>1711</v>
      </c>
      <c r="H30" s="11">
        <f t="shared" si="10"/>
        <v>773</v>
      </c>
      <c r="I30" s="12">
        <f t="shared" si="7"/>
        <v>2788</v>
      </c>
      <c r="J30" s="12">
        <f t="shared" si="8"/>
        <v>3561</v>
      </c>
    </row>
    <row r="31" spans="1:10" ht="12.75">
      <c r="A31" s="2" t="s">
        <v>30</v>
      </c>
      <c r="B31" s="13">
        <f>344+1-1</f>
        <v>344</v>
      </c>
      <c r="C31" s="12">
        <f>1577+2-0</f>
        <v>1579</v>
      </c>
      <c r="D31" s="12">
        <f t="shared" si="9"/>
        <v>1923</v>
      </c>
      <c r="E31" s="11">
        <f>212+0-0</f>
        <v>212</v>
      </c>
      <c r="F31" s="12">
        <f>976+1-0</f>
        <v>977</v>
      </c>
      <c r="G31" s="12">
        <f t="shared" si="6"/>
        <v>1189</v>
      </c>
      <c r="H31" s="11">
        <f t="shared" si="10"/>
        <v>556</v>
      </c>
      <c r="I31" s="12">
        <f t="shared" si="7"/>
        <v>2556</v>
      </c>
      <c r="J31" s="12">
        <f t="shared" si="8"/>
        <v>3112</v>
      </c>
    </row>
    <row r="32" spans="1:10" ht="12.75">
      <c r="A32" s="2" t="s">
        <v>31</v>
      </c>
      <c r="B32" s="13">
        <f>324+8-0</f>
        <v>332</v>
      </c>
      <c r="C32" s="12">
        <f>1876+7-0</f>
        <v>1883</v>
      </c>
      <c r="D32" s="12">
        <f t="shared" si="9"/>
        <v>2215</v>
      </c>
      <c r="E32" s="11">
        <f>123+1-1</f>
        <v>123</v>
      </c>
      <c r="F32" s="12">
        <f>887+2-1</f>
        <v>888</v>
      </c>
      <c r="G32" s="12">
        <f t="shared" si="6"/>
        <v>1011</v>
      </c>
      <c r="H32" s="11">
        <f t="shared" si="10"/>
        <v>455</v>
      </c>
      <c r="I32" s="12">
        <f t="shared" si="7"/>
        <v>2771</v>
      </c>
      <c r="J32" s="12">
        <f t="shared" si="8"/>
        <v>3226</v>
      </c>
    </row>
    <row r="33" spans="1:10" ht="12.75">
      <c r="A33" s="2" t="s">
        <v>32</v>
      </c>
      <c r="B33" s="13">
        <f>434+18-0</f>
        <v>452</v>
      </c>
      <c r="C33" s="12">
        <f>2861+33-4</f>
        <v>2890</v>
      </c>
      <c r="D33" s="12">
        <f t="shared" si="9"/>
        <v>3342</v>
      </c>
      <c r="E33" s="11">
        <f>104+2-0</f>
        <v>106</v>
      </c>
      <c r="F33" s="12">
        <f>722+1-0</f>
        <v>723</v>
      </c>
      <c r="G33" s="12">
        <f t="shared" si="6"/>
        <v>829</v>
      </c>
      <c r="H33" s="11">
        <f t="shared" si="10"/>
        <v>558</v>
      </c>
      <c r="I33" s="12">
        <f t="shared" si="7"/>
        <v>3613</v>
      </c>
      <c r="J33" s="12">
        <f t="shared" si="8"/>
        <v>4171</v>
      </c>
    </row>
    <row r="34" spans="1:10" ht="12.75">
      <c r="A34" s="2" t="s">
        <v>33</v>
      </c>
      <c r="B34" s="13">
        <f>768+63-9</f>
        <v>822</v>
      </c>
      <c r="C34" s="12">
        <f>2906+41-11</f>
        <v>2936</v>
      </c>
      <c r="D34" s="12">
        <f t="shared" si="9"/>
        <v>3758</v>
      </c>
      <c r="E34" s="11">
        <f>102+0-0</f>
        <v>102</v>
      </c>
      <c r="F34" s="12">
        <f>401+0-0</f>
        <v>401</v>
      </c>
      <c r="G34" s="12">
        <f t="shared" si="6"/>
        <v>503</v>
      </c>
      <c r="H34" s="11">
        <f t="shared" si="10"/>
        <v>924</v>
      </c>
      <c r="I34" s="12">
        <f t="shared" si="7"/>
        <v>3337</v>
      </c>
      <c r="J34" s="12">
        <f t="shared" si="8"/>
        <v>4261</v>
      </c>
    </row>
    <row r="35" spans="1:10" ht="12.75">
      <c r="A35" s="2" t="s">
        <v>34</v>
      </c>
      <c r="B35" s="13">
        <f>878+140-70</f>
        <v>948</v>
      </c>
      <c r="C35" s="12">
        <f>2347+177-143</f>
        <v>2381</v>
      </c>
      <c r="D35" s="12">
        <f t="shared" si="9"/>
        <v>3329</v>
      </c>
      <c r="E35" s="11">
        <f>41+0-0</f>
        <v>41</v>
      </c>
      <c r="F35" s="12">
        <f>133+0-0</f>
        <v>133</v>
      </c>
      <c r="G35" s="12">
        <f t="shared" si="6"/>
        <v>174</v>
      </c>
      <c r="H35" s="11">
        <f t="shared" si="10"/>
        <v>989</v>
      </c>
      <c r="I35" s="12">
        <f t="shared" si="7"/>
        <v>2514</v>
      </c>
      <c r="J35" s="12">
        <f t="shared" si="8"/>
        <v>3503</v>
      </c>
    </row>
    <row r="36" spans="1:10" ht="12.75">
      <c r="A36" s="2" t="s">
        <v>35</v>
      </c>
      <c r="B36" s="13">
        <f>295+106-55</f>
        <v>346</v>
      </c>
      <c r="C36" s="12">
        <f>637+111-103</f>
        <v>645</v>
      </c>
      <c r="D36" s="71">
        <f t="shared" si="9"/>
        <v>991</v>
      </c>
      <c r="E36" s="11">
        <f>18+0-0</f>
        <v>18</v>
      </c>
      <c r="F36" s="12">
        <f>22+1-0</f>
        <v>23</v>
      </c>
      <c r="G36" s="71">
        <f t="shared" si="6"/>
        <v>41</v>
      </c>
      <c r="H36" s="11">
        <f t="shared" si="10"/>
        <v>364</v>
      </c>
      <c r="I36" s="12">
        <f t="shared" si="7"/>
        <v>668</v>
      </c>
      <c r="J36" s="71">
        <f t="shared" si="8"/>
        <v>1032</v>
      </c>
    </row>
    <row r="37" spans="1:10" ht="12.75">
      <c r="A37" s="19" t="s">
        <v>4</v>
      </c>
      <c r="B37" s="72">
        <f aca="true" t="shared" si="11" ref="B37:J37">SUM(B28:B36)</f>
        <v>3763</v>
      </c>
      <c r="C37" s="73">
        <f t="shared" si="11"/>
        <v>14343</v>
      </c>
      <c r="D37" s="73">
        <f t="shared" si="11"/>
        <v>18106</v>
      </c>
      <c r="E37" s="72">
        <f t="shared" si="11"/>
        <v>2023</v>
      </c>
      <c r="F37" s="73">
        <f t="shared" si="11"/>
        <v>7365</v>
      </c>
      <c r="G37" s="73">
        <f t="shared" si="11"/>
        <v>9388</v>
      </c>
      <c r="H37" s="72">
        <f t="shared" si="11"/>
        <v>5786</v>
      </c>
      <c r="I37" s="73">
        <f t="shared" si="11"/>
        <v>21708</v>
      </c>
      <c r="J37" s="73">
        <f t="shared" si="11"/>
        <v>27494</v>
      </c>
    </row>
    <row r="39" ht="12.75">
      <c r="A39" s="4" t="s">
        <v>41</v>
      </c>
    </row>
  </sheetData>
  <printOptions horizontalCentered="1"/>
  <pageMargins left="0.3937007874015748" right="0.3937007874015748" top="0.7874015748031497" bottom="0.3937007874015748" header="0.5118110236220472" footer="0.5118110236220472"/>
  <pageSetup fitToHeight="1" fitToWidth="1" horizontalDpi="300" verticalDpi="300" orientation="portrait" paperSize="9" scale="83" r:id="rId1"/>
  <headerFooter alignWithMargins="0">
    <oddFooter>&amp;R&amp;A</oddFooter>
  </headerFooter>
</worksheet>
</file>

<file path=xl/worksheets/sheet12.xml><?xml version="1.0" encoding="utf-8"?>
<worksheet xmlns="http://schemas.openxmlformats.org/spreadsheetml/2006/main" xmlns:r="http://schemas.openxmlformats.org/officeDocument/2006/relationships">
  <sheetPr codeName="Blad11"/>
  <dimension ref="A1:S117"/>
  <sheetViews>
    <sheetView workbookViewId="0" topLeftCell="A1">
      <selection activeCell="F68" sqref="F68"/>
    </sheetView>
  </sheetViews>
  <sheetFormatPr defaultColWidth="9.140625" defaultRowHeight="12.75"/>
  <cols>
    <col min="1" max="1" width="32.7109375" style="4" customWidth="1"/>
    <col min="2" max="2" width="7.57421875" style="4" customWidth="1"/>
    <col min="3" max="3" width="10.8515625" style="4" customWidth="1"/>
    <col min="4" max="4" width="9.28125" style="4" customWidth="1"/>
    <col min="5" max="5" width="7.57421875" style="4" customWidth="1"/>
    <col min="6" max="6" width="9.00390625" style="4" customWidth="1"/>
    <col min="7" max="7" width="10.140625" style="4" customWidth="1"/>
    <col min="8" max="9" width="7.57421875" style="4" customWidth="1"/>
    <col min="10" max="10" width="9.421875" style="4" customWidth="1"/>
    <col min="11" max="12" width="7.57421875" style="4" customWidth="1"/>
    <col min="13" max="13" width="10.7109375" style="4" customWidth="1"/>
    <col min="14" max="14" width="9.421875" style="4" customWidth="1"/>
    <col min="15" max="15" width="9.28125" style="4" customWidth="1"/>
    <col min="16" max="16" width="10.140625" style="4" customWidth="1"/>
    <col min="17" max="17" width="7.57421875" style="4" customWidth="1"/>
    <col min="18" max="18" width="9.421875" style="4" customWidth="1"/>
    <col min="19" max="19" width="7.57421875" style="4" customWidth="1"/>
    <col min="20" max="16384" width="9.140625" style="4" customWidth="1"/>
  </cols>
  <sheetData>
    <row r="1" spans="1:19" ht="12.75">
      <c r="A1" s="133" t="s">
        <v>81</v>
      </c>
      <c r="B1" s="2"/>
      <c r="C1" s="2"/>
      <c r="D1" s="2"/>
      <c r="E1" s="3"/>
      <c r="F1" s="2"/>
      <c r="G1" s="2"/>
      <c r="H1" s="2"/>
      <c r="I1" s="2"/>
      <c r="J1" s="2"/>
      <c r="K1" s="2"/>
      <c r="L1" s="2"/>
      <c r="M1" s="2"/>
      <c r="N1" s="2"/>
      <c r="O1" s="2"/>
      <c r="P1" s="2"/>
      <c r="Q1" s="2"/>
      <c r="R1" s="2"/>
      <c r="S1" s="2"/>
    </row>
    <row r="2" spans="1:19" ht="12.75">
      <c r="A2" s="5" t="s">
        <v>57</v>
      </c>
      <c r="B2" s="6"/>
      <c r="C2" s="6"/>
      <c r="D2" s="5"/>
      <c r="E2" s="131"/>
      <c r="F2" s="6"/>
      <c r="G2" s="7"/>
      <c r="H2" s="6"/>
      <c r="I2" s="7"/>
      <c r="J2" s="6"/>
      <c r="K2" s="6"/>
      <c r="L2" s="6"/>
      <c r="M2" s="6"/>
      <c r="N2" s="6"/>
      <c r="O2" s="6"/>
      <c r="P2" s="6"/>
      <c r="Q2" s="6"/>
      <c r="R2" s="6"/>
      <c r="S2" s="6"/>
    </row>
    <row r="3" spans="1:19" ht="12.75">
      <c r="A3" s="5"/>
      <c r="B3" s="6"/>
      <c r="C3" s="6"/>
      <c r="D3" s="6"/>
      <c r="E3" s="131"/>
      <c r="F3" s="5"/>
      <c r="G3" s="7"/>
      <c r="H3" s="6"/>
      <c r="I3" s="7"/>
      <c r="J3" s="6"/>
      <c r="K3" s="6"/>
      <c r="L3" s="6"/>
      <c r="M3" s="6"/>
      <c r="N3" s="6"/>
      <c r="O3" s="6"/>
      <c r="P3" s="6"/>
      <c r="Q3" s="6"/>
      <c r="R3" s="6"/>
      <c r="S3" s="6"/>
    </row>
    <row r="4" spans="1:19" ht="12.75">
      <c r="A4" s="5" t="s">
        <v>84</v>
      </c>
      <c r="B4" s="6"/>
      <c r="C4" s="6"/>
      <c r="D4" s="6"/>
      <c r="E4" s="131"/>
      <c r="F4" s="5"/>
      <c r="G4" s="7"/>
      <c r="H4" s="6"/>
      <c r="I4" s="7"/>
      <c r="J4" s="6"/>
      <c r="K4" s="6"/>
      <c r="L4" s="6"/>
      <c r="M4" s="6"/>
      <c r="N4" s="6"/>
      <c r="O4" s="6"/>
      <c r="P4" s="6"/>
      <c r="Q4" s="6"/>
      <c r="R4" s="6"/>
      <c r="S4" s="6"/>
    </row>
    <row r="5" spans="1:19" ht="13.5" thickBot="1">
      <c r="A5" s="2"/>
      <c r="B5" s="2"/>
      <c r="C5" s="2"/>
      <c r="D5" s="2"/>
      <c r="E5" s="3"/>
      <c r="F5" s="2"/>
      <c r="G5" s="2"/>
      <c r="H5" s="2"/>
      <c r="I5" s="2"/>
      <c r="J5" s="2"/>
      <c r="K5" s="2"/>
      <c r="L5" s="2"/>
      <c r="M5" s="2"/>
      <c r="N5" s="2"/>
      <c r="O5" s="2"/>
      <c r="P5" s="2"/>
      <c r="Q5" s="2"/>
      <c r="R5" s="2"/>
      <c r="S5" s="2"/>
    </row>
    <row r="6" spans="1:19" ht="12.75">
      <c r="A6" s="8"/>
      <c r="B6" s="157" t="s">
        <v>36</v>
      </c>
      <c r="C6" s="158"/>
      <c r="D6" s="158"/>
      <c r="E6" s="158"/>
      <c r="F6" s="158"/>
      <c r="G6" s="158"/>
      <c r="H6" s="157" t="s">
        <v>37</v>
      </c>
      <c r="I6" s="158"/>
      <c r="J6" s="158"/>
      <c r="K6" s="158"/>
      <c r="L6" s="158"/>
      <c r="M6" s="158"/>
      <c r="N6" s="157" t="s">
        <v>4</v>
      </c>
      <c r="O6" s="158"/>
      <c r="P6" s="158"/>
      <c r="Q6" s="158"/>
      <c r="R6" s="158"/>
      <c r="S6" s="158"/>
    </row>
    <row r="7" spans="1:19" ht="12.75">
      <c r="A7" s="3"/>
      <c r="B7" s="159" t="s">
        <v>24</v>
      </c>
      <c r="C7" s="160"/>
      <c r="D7" s="160"/>
      <c r="E7" s="159" t="s">
        <v>25</v>
      </c>
      <c r="F7" s="160"/>
      <c r="G7" s="160"/>
      <c r="H7" s="159" t="s">
        <v>24</v>
      </c>
      <c r="I7" s="160"/>
      <c r="J7" s="160"/>
      <c r="K7" s="159" t="s">
        <v>25</v>
      </c>
      <c r="L7" s="160"/>
      <c r="M7" s="160"/>
      <c r="N7" s="159" t="s">
        <v>24</v>
      </c>
      <c r="O7" s="160"/>
      <c r="P7" s="160"/>
      <c r="Q7" s="159" t="s">
        <v>25</v>
      </c>
      <c r="R7" s="160"/>
      <c r="S7" s="160"/>
    </row>
    <row r="8" spans="1:19" s="161" customFormat="1" ht="12.75">
      <c r="A8" s="66"/>
      <c r="B8" s="187" t="s">
        <v>5</v>
      </c>
      <c r="C8" s="188" t="s">
        <v>6</v>
      </c>
      <c r="D8" s="188" t="s">
        <v>4</v>
      </c>
      <c r="E8" s="187" t="s">
        <v>5</v>
      </c>
      <c r="F8" s="188" t="s">
        <v>6</v>
      </c>
      <c r="G8" s="188" t="s">
        <v>4</v>
      </c>
      <c r="H8" s="187" t="s">
        <v>5</v>
      </c>
      <c r="I8" s="188" t="s">
        <v>6</v>
      </c>
      <c r="J8" s="188" t="s">
        <v>4</v>
      </c>
      <c r="K8" s="187" t="s">
        <v>5</v>
      </c>
      <c r="L8" s="188" t="s">
        <v>6</v>
      </c>
      <c r="M8" s="188" t="s">
        <v>4</v>
      </c>
      <c r="N8" s="187" t="s">
        <v>5</v>
      </c>
      <c r="O8" s="188" t="s">
        <v>6</v>
      </c>
      <c r="P8" s="188" t="s">
        <v>4</v>
      </c>
      <c r="Q8" s="187" t="s">
        <v>5</v>
      </c>
      <c r="R8" s="188" t="s">
        <v>6</v>
      </c>
      <c r="S8" s="188" t="s">
        <v>4</v>
      </c>
    </row>
    <row r="9" spans="1:19" ht="12.75">
      <c r="A9" s="2"/>
      <c r="B9" s="11"/>
      <c r="C9" s="12"/>
      <c r="D9" s="12"/>
      <c r="E9" s="11"/>
      <c r="F9" s="12"/>
      <c r="G9" s="12"/>
      <c r="H9" s="11"/>
      <c r="I9" s="12"/>
      <c r="J9" s="12"/>
      <c r="K9" s="11"/>
      <c r="L9" s="12"/>
      <c r="M9" s="12"/>
      <c r="N9" s="11"/>
      <c r="O9" s="12"/>
      <c r="P9" s="12"/>
      <c r="Q9" s="11"/>
      <c r="R9" s="12"/>
      <c r="S9" s="12"/>
    </row>
    <row r="10" spans="1:19" ht="12.75">
      <c r="A10" s="1" t="s">
        <v>7</v>
      </c>
      <c r="B10" s="11"/>
      <c r="C10" s="12"/>
      <c r="D10" s="12"/>
      <c r="E10" s="11"/>
      <c r="F10" s="12"/>
      <c r="G10" s="12"/>
      <c r="H10" s="11"/>
      <c r="I10" s="12"/>
      <c r="J10" s="12"/>
      <c r="K10" s="11"/>
      <c r="L10" s="12"/>
      <c r="M10" s="12"/>
      <c r="N10" s="11"/>
      <c r="O10" s="12"/>
      <c r="P10" s="12"/>
      <c r="Q10" s="11"/>
      <c r="R10" s="12"/>
      <c r="S10" s="12"/>
    </row>
    <row r="11" spans="1:19" ht="12.75">
      <c r="A11" s="2" t="s">
        <v>45</v>
      </c>
      <c r="B11" s="11">
        <v>47</v>
      </c>
      <c r="C11" s="12">
        <v>71</v>
      </c>
      <c r="D11" s="12">
        <f>SUM(B11:C11)</f>
        <v>118</v>
      </c>
      <c r="E11" s="11">
        <v>31</v>
      </c>
      <c r="F11" s="12">
        <v>73</v>
      </c>
      <c r="G11" s="12">
        <f>SUM(E11:F11)</f>
        <v>104</v>
      </c>
      <c r="H11" s="11">
        <v>45</v>
      </c>
      <c r="I11" s="12">
        <v>442</v>
      </c>
      <c r="J11" s="12">
        <f>SUM(H11:I11)</f>
        <v>487</v>
      </c>
      <c r="K11" s="11">
        <v>68</v>
      </c>
      <c r="L11" s="12">
        <v>445</v>
      </c>
      <c r="M11" s="12">
        <f>SUM(K11:L11)</f>
        <v>513</v>
      </c>
      <c r="N11" s="11">
        <f>SUM(B11,H11)</f>
        <v>92</v>
      </c>
      <c r="O11" s="12">
        <f>SUM(C11,I11)</f>
        <v>513</v>
      </c>
      <c r="P11" s="12">
        <f>SUM(N11:O11)</f>
        <v>605</v>
      </c>
      <c r="Q11" s="11">
        <f aca="true" t="shared" si="0" ref="Q11:R14">SUM(E11,K11)</f>
        <v>99</v>
      </c>
      <c r="R11" s="12">
        <f t="shared" si="0"/>
        <v>518</v>
      </c>
      <c r="S11" s="12">
        <f>SUM(Q11:R11)</f>
        <v>617</v>
      </c>
    </row>
    <row r="12" spans="1:19" ht="12.75">
      <c r="A12" s="2" t="s">
        <v>8</v>
      </c>
      <c r="B12" s="11">
        <v>33</v>
      </c>
      <c r="C12" s="12">
        <v>228</v>
      </c>
      <c r="D12" s="12">
        <f>SUM(B12:C12)</f>
        <v>261</v>
      </c>
      <c r="E12" s="11">
        <v>30</v>
      </c>
      <c r="F12" s="12">
        <v>71</v>
      </c>
      <c r="G12" s="12">
        <f>SUM(E12:F12)</f>
        <v>101</v>
      </c>
      <c r="H12" s="11">
        <v>120</v>
      </c>
      <c r="I12" s="12">
        <v>1942</v>
      </c>
      <c r="J12" s="12">
        <f>SUM(H12:I12)</f>
        <v>2062</v>
      </c>
      <c r="K12" s="11">
        <v>119</v>
      </c>
      <c r="L12" s="12">
        <v>883</v>
      </c>
      <c r="M12" s="12">
        <f>SUM(K12:L12)</f>
        <v>1002</v>
      </c>
      <c r="N12" s="11">
        <f aca="true" t="shared" si="1" ref="N12:O14">SUM(B12,H12)</f>
        <v>153</v>
      </c>
      <c r="O12" s="12">
        <f t="shared" si="1"/>
        <v>2170</v>
      </c>
      <c r="P12" s="12">
        <f>SUM(N12:O12)</f>
        <v>2323</v>
      </c>
      <c r="Q12" s="11">
        <f t="shared" si="0"/>
        <v>149</v>
      </c>
      <c r="R12" s="12">
        <f t="shared" si="0"/>
        <v>954</v>
      </c>
      <c r="S12" s="12">
        <f>SUM(Q12:R12)</f>
        <v>1103</v>
      </c>
    </row>
    <row r="13" spans="1:19" ht="12.75">
      <c r="A13" s="2" t="s">
        <v>9</v>
      </c>
      <c r="B13" s="11">
        <v>0</v>
      </c>
      <c r="C13" s="12">
        <v>0</v>
      </c>
      <c r="D13" s="12">
        <f>SUM(B13:C13)</f>
        <v>0</v>
      </c>
      <c r="E13" s="11">
        <v>0</v>
      </c>
      <c r="F13" s="12">
        <v>0</v>
      </c>
      <c r="G13" s="12">
        <f>SUM(E13:F13)</f>
        <v>0</v>
      </c>
      <c r="H13" s="11">
        <v>0</v>
      </c>
      <c r="I13" s="12">
        <v>2</v>
      </c>
      <c r="J13" s="12">
        <f>SUM(H13:I13)</f>
        <v>2</v>
      </c>
      <c r="K13" s="13">
        <v>0</v>
      </c>
      <c r="L13" s="12">
        <v>2</v>
      </c>
      <c r="M13" s="12">
        <f>SUM(K13:L13)</f>
        <v>2</v>
      </c>
      <c r="N13" s="11">
        <f t="shared" si="1"/>
        <v>0</v>
      </c>
      <c r="O13" s="12">
        <f t="shared" si="1"/>
        <v>2</v>
      </c>
      <c r="P13" s="12">
        <f>SUM(N13:O13)</f>
        <v>2</v>
      </c>
      <c r="Q13" s="11">
        <f t="shared" si="0"/>
        <v>0</v>
      </c>
      <c r="R13" s="12">
        <f t="shared" si="0"/>
        <v>2</v>
      </c>
      <c r="S13" s="12">
        <f>SUM(Q13:R13)</f>
        <v>2</v>
      </c>
    </row>
    <row r="14" spans="1:19" ht="12.75">
      <c r="A14" s="2" t="s">
        <v>10</v>
      </c>
      <c r="B14" s="11">
        <v>13</v>
      </c>
      <c r="C14" s="12">
        <v>105</v>
      </c>
      <c r="D14" s="12">
        <f>SUM(B14:C14)</f>
        <v>118</v>
      </c>
      <c r="E14" s="11">
        <v>10</v>
      </c>
      <c r="F14" s="12">
        <v>32</v>
      </c>
      <c r="G14" s="12">
        <f>SUM(E14:F14)</f>
        <v>42</v>
      </c>
      <c r="H14" s="11">
        <v>63</v>
      </c>
      <c r="I14" s="12">
        <v>693</v>
      </c>
      <c r="J14" s="12">
        <f>SUM(H14:I14)</f>
        <v>756</v>
      </c>
      <c r="K14" s="11">
        <v>60</v>
      </c>
      <c r="L14" s="12">
        <v>332</v>
      </c>
      <c r="M14" s="12">
        <f>SUM(K14:L14)</f>
        <v>392</v>
      </c>
      <c r="N14" s="11">
        <f t="shared" si="1"/>
        <v>76</v>
      </c>
      <c r="O14" s="12">
        <f t="shared" si="1"/>
        <v>798</v>
      </c>
      <c r="P14" s="12">
        <f>SUM(N14:O14)</f>
        <v>874</v>
      </c>
      <c r="Q14" s="11">
        <f t="shared" si="0"/>
        <v>70</v>
      </c>
      <c r="R14" s="12">
        <f t="shared" si="0"/>
        <v>364</v>
      </c>
      <c r="S14" s="12">
        <f>SUM(Q14:R14)</f>
        <v>434</v>
      </c>
    </row>
    <row r="15" spans="1:19" ht="12.75">
      <c r="A15" s="19" t="s">
        <v>4</v>
      </c>
      <c r="B15" s="72">
        <f>SUM(B11:B14)</f>
        <v>93</v>
      </c>
      <c r="C15" s="73">
        <f aca="true" t="shared" si="2" ref="C15:S15">SUM(C11:C14)</f>
        <v>404</v>
      </c>
      <c r="D15" s="73">
        <f t="shared" si="2"/>
        <v>497</v>
      </c>
      <c r="E15" s="72">
        <f t="shared" si="2"/>
        <v>71</v>
      </c>
      <c r="F15" s="73">
        <f t="shared" si="2"/>
        <v>176</v>
      </c>
      <c r="G15" s="73">
        <f t="shared" si="2"/>
        <v>247</v>
      </c>
      <c r="H15" s="72">
        <f t="shared" si="2"/>
        <v>228</v>
      </c>
      <c r="I15" s="73">
        <f t="shared" si="2"/>
        <v>3079</v>
      </c>
      <c r="J15" s="73">
        <f t="shared" si="2"/>
        <v>3307</v>
      </c>
      <c r="K15" s="72">
        <f t="shared" si="2"/>
        <v>247</v>
      </c>
      <c r="L15" s="73">
        <f t="shared" si="2"/>
        <v>1662</v>
      </c>
      <c r="M15" s="73">
        <f t="shared" si="2"/>
        <v>1909</v>
      </c>
      <c r="N15" s="72">
        <f t="shared" si="2"/>
        <v>321</v>
      </c>
      <c r="O15" s="73">
        <f t="shared" si="2"/>
        <v>3483</v>
      </c>
      <c r="P15" s="73">
        <f t="shared" si="2"/>
        <v>3804</v>
      </c>
      <c r="Q15" s="72">
        <f t="shared" si="2"/>
        <v>318</v>
      </c>
      <c r="R15" s="73">
        <f t="shared" si="2"/>
        <v>1838</v>
      </c>
      <c r="S15" s="73">
        <f t="shared" si="2"/>
        <v>2156</v>
      </c>
    </row>
    <row r="16" spans="1:19" ht="12.75">
      <c r="A16" s="3"/>
      <c r="B16" s="11"/>
      <c r="C16" s="12"/>
      <c r="D16" s="12"/>
      <c r="E16" s="11"/>
      <c r="F16" s="12"/>
      <c r="G16" s="12"/>
      <c r="H16" s="11"/>
      <c r="I16" s="12"/>
      <c r="J16" s="12"/>
      <c r="K16" s="11"/>
      <c r="L16" s="12"/>
      <c r="M16" s="12"/>
      <c r="N16" s="11"/>
      <c r="O16" s="12"/>
      <c r="P16" s="12"/>
      <c r="Q16" s="11"/>
      <c r="R16" s="12"/>
      <c r="S16" s="12"/>
    </row>
    <row r="17" spans="1:19" ht="12.75">
      <c r="A17" s="1" t="s">
        <v>11</v>
      </c>
      <c r="B17" s="11"/>
      <c r="C17" s="12"/>
      <c r="D17" s="12"/>
      <c r="E17" s="11"/>
      <c r="F17" s="12"/>
      <c r="G17" s="12"/>
      <c r="H17" s="11"/>
      <c r="I17" s="12"/>
      <c r="J17" s="12"/>
      <c r="K17" s="11"/>
      <c r="L17" s="12"/>
      <c r="M17" s="12"/>
      <c r="N17" s="11"/>
      <c r="O17" s="12"/>
      <c r="P17" s="12"/>
      <c r="Q17" s="11"/>
      <c r="R17" s="12"/>
      <c r="S17" s="12"/>
    </row>
    <row r="18" spans="1:19" ht="12.75">
      <c r="A18" s="2" t="s">
        <v>45</v>
      </c>
      <c r="B18" s="11">
        <v>38</v>
      </c>
      <c r="C18" s="12">
        <v>194</v>
      </c>
      <c r="D18" s="12">
        <f>SUM(B18:C18)</f>
        <v>232</v>
      </c>
      <c r="E18" s="11">
        <v>15</v>
      </c>
      <c r="F18" s="12">
        <v>152</v>
      </c>
      <c r="G18" s="12">
        <f>SUM(E18:F18)</f>
        <v>167</v>
      </c>
      <c r="H18" s="11">
        <v>13</v>
      </c>
      <c r="I18" s="12">
        <v>165</v>
      </c>
      <c r="J18" s="12">
        <f>SUM(H18:I18)</f>
        <v>178</v>
      </c>
      <c r="K18" s="11">
        <v>21</v>
      </c>
      <c r="L18" s="12">
        <v>167</v>
      </c>
      <c r="M18" s="12">
        <f>SUM(K18:L18)</f>
        <v>188</v>
      </c>
      <c r="N18" s="11">
        <f aca="true" t="shared" si="3" ref="N18:O21">SUM(B18,H18)</f>
        <v>51</v>
      </c>
      <c r="O18" s="12">
        <f t="shared" si="3"/>
        <v>359</v>
      </c>
      <c r="P18" s="12">
        <f>SUM(N18:O18)</f>
        <v>410</v>
      </c>
      <c r="Q18" s="11">
        <f aca="true" t="shared" si="4" ref="Q18:R21">SUM(E18,K18)</f>
        <v>36</v>
      </c>
      <c r="R18" s="12">
        <f t="shared" si="4"/>
        <v>319</v>
      </c>
      <c r="S18" s="12">
        <f>SUM(Q18:R18)</f>
        <v>355</v>
      </c>
    </row>
    <row r="19" spans="1:19" ht="12.75">
      <c r="A19" s="2" t="s">
        <v>8</v>
      </c>
      <c r="B19" s="11">
        <v>67</v>
      </c>
      <c r="C19" s="12">
        <v>361</v>
      </c>
      <c r="D19" s="12">
        <f>SUM(B19:C19)</f>
        <v>428</v>
      </c>
      <c r="E19" s="11">
        <v>4</v>
      </c>
      <c r="F19" s="12">
        <v>119</v>
      </c>
      <c r="G19" s="12">
        <f>SUM(E19:F19)</f>
        <v>123</v>
      </c>
      <c r="H19" s="11">
        <v>25</v>
      </c>
      <c r="I19" s="12">
        <v>534</v>
      </c>
      <c r="J19" s="12">
        <f>SUM(H19:I19)</f>
        <v>559</v>
      </c>
      <c r="K19" s="11">
        <v>17</v>
      </c>
      <c r="L19" s="12">
        <v>364</v>
      </c>
      <c r="M19" s="12">
        <f>SUM(K19:L19)</f>
        <v>381</v>
      </c>
      <c r="N19" s="11">
        <f t="shared" si="3"/>
        <v>92</v>
      </c>
      <c r="O19" s="12">
        <f t="shared" si="3"/>
        <v>895</v>
      </c>
      <c r="P19" s="12">
        <f>SUM(N19:O19)</f>
        <v>987</v>
      </c>
      <c r="Q19" s="11">
        <f t="shared" si="4"/>
        <v>21</v>
      </c>
      <c r="R19" s="12">
        <f t="shared" si="4"/>
        <v>483</v>
      </c>
      <c r="S19" s="12">
        <f>SUM(Q19:R19)</f>
        <v>504</v>
      </c>
    </row>
    <row r="20" spans="1:19" ht="12.75">
      <c r="A20" s="2" t="s">
        <v>9</v>
      </c>
      <c r="B20" s="11">
        <v>1</v>
      </c>
      <c r="C20" s="12">
        <v>14</v>
      </c>
      <c r="D20" s="12">
        <f>SUM(B20:C20)</f>
        <v>15</v>
      </c>
      <c r="E20" s="13">
        <v>0</v>
      </c>
      <c r="F20" s="18">
        <v>1</v>
      </c>
      <c r="G20" s="18">
        <f>SUM(E20:F20)</f>
        <v>1</v>
      </c>
      <c r="H20" s="13">
        <v>0</v>
      </c>
      <c r="I20" s="12">
        <v>8</v>
      </c>
      <c r="J20" s="12">
        <f>SUM(H20:I20)</f>
        <v>8</v>
      </c>
      <c r="K20" s="13">
        <v>0</v>
      </c>
      <c r="L20" s="18">
        <v>8</v>
      </c>
      <c r="M20" s="18">
        <f>SUM(K20:L20)</f>
        <v>8</v>
      </c>
      <c r="N20" s="11">
        <f t="shared" si="3"/>
        <v>1</v>
      </c>
      <c r="O20" s="12">
        <f t="shared" si="3"/>
        <v>22</v>
      </c>
      <c r="P20" s="12">
        <f>SUM(N20:O20)</f>
        <v>23</v>
      </c>
      <c r="Q20" s="13">
        <f t="shared" si="4"/>
        <v>0</v>
      </c>
      <c r="R20" s="12">
        <f t="shared" si="4"/>
        <v>9</v>
      </c>
      <c r="S20" s="12">
        <f>SUM(Q20:R20)</f>
        <v>9</v>
      </c>
    </row>
    <row r="21" spans="1:19" ht="12.75">
      <c r="A21" s="2" t="s">
        <v>10</v>
      </c>
      <c r="B21" s="11">
        <v>9</v>
      </c>
      <c r="C21" s="12">
        <v>96</v>
      </c>
      <c r="D21" s="12">
        <f>SUM(B21:C21)</f>
        <v>105</v>
      </c>
      <c r="E21" s="11">
        <v>0</v>
      </c>
      <c r="F21" s="12">
        <v>27</v>
      </c>
      <c r="G21" s="12">
        <f>SUM(E21:F21)</f>
        <v>27</v>
      </c>
      <c r="H21" s="11">
        <v>7</v>
      </c>
      <c r="I21" s="12">
        <v>95</v>
      </c>
      <c r="J21" s="12">
        <f>SUM(H21:I21)</f>
        <v>102</v>
      </c>
      <c r="K21" s="11">
        <v>8</v>
      </c>
      <c r="L21" s="12">
        <v>74</v>
      </c>
      <c r="M21" s="12">
        <f>SUM(K21:L21)</f>
        <v>82</v>
      </c>
      <c r="N21" s="11">
        <f t="shared" si="3"/>
        <v>16</v>
      </c>
      <c r="O21" s="12">
        <f t="shared" si="3"/>
        <v>191</v>
      </c>
      <c r="P21" s="12">
        <f>SUM(N21:O21)</f>
        <v>207</v>
      </c>
      <c r="Q21" s="11">
        <f t="shared" si="4"/>
        <v>8</v>
      </c>
      <c r="R21" s="12">
        <f t="shared" si="4"/>
        <v>101</v>
      </c>
      <c r="S21" s="12">
        <f>SUM(Q21:R21)</f>
        <v>109</v>
      </c>
    </row>
    <row r="22" spans="1:19" ht="12.75">
      <c r="A22" s="19" t="s">
        <v>4</v>
      </c>
      <c r="B22" s="72">
        <f aca="true" t="shared" si="5" ref="B22:S22">SUM(B18:B21)</f>
        <v>115</v>
      </c>
      <c r="C22" s="73">
        <f t="shared" si="5"/>
        <v>665</v>
      </c>
      <c r="D22" s="73">
        <f t="shared" si="5"/>
        <v>780</v>
      </c>
      <c r="E22" s="72">
        <f t="shared" si="5"/>
        <v>19</v>
      </c>
      <c r="F22" s="73">
        <f t="shared" si="5"/>
        <v>299</v>
      </c>
      <c r="G22" s="73">
        <f t="shared" si="5"/>
        <v>318</v>
      </c>
      <c r="H22" s="72">
        <f t="shared" si="5"/>
        <v>45</v>
      </c>
      <c r="I22" s="73">
        <f t="shared" si="5"/>
        <v>802</v>
      </c>
      <c r="J22" s="73">
        <f t="shared" si="5"/>
        <v>847</v>
      </c>
      <c r="K22" s="72">
        <f t="shared" si="5"/>
        <v>46</v>
      </c>
      <c r="L22" s="73">
        <f t="shared" si="5"/>
        <v>613</v>
      </c>
      <c r="M22" s="73">
        <f t="shared" si="5"/>
        <v>659</v>
      </c>
      <c r="N22" s="72">
        <f t="shared" si="5"/>
        <v>160</v>
      </c>
      <c r="O22" s="73">
        <f t="shared" si="5"/>
        <v>1467</v>
      </c>
      <c r="P22" s="73">
        <f t="shared" si="5"/>
        <v>1627</v>
      </c>
      <c r="Q22" s="72">
        <f t="shared" si="5"/>
        <v>65</v>
      </c>
      <c r="R22" s="73">
        <f t="shared" si="5"/>
        <v>912</v>
      </c>
      <c r="S22" s="73">
        <f t="shared" si="5"/>
        <v>977</v>
      </c>
    </row>
    <row r="23" spans="1:19" ht="12.75">
      <c r="A23" s="2"/>
      <c r="B23" s="11"/>
      <c r="C23" s="12"/>
      <c r="D23" s="12"/>
      <c r="E23" s="11"/>
      <c r="F23" s="12"/>
      <c r="G23" s="12"/>
      <c r="H23" s="11"/>
      <c r="I23" s="12"/>
      <c r="J23" s="12"/>
      <c r="K23" s="11"/>
      <c r="L23" s="12"/>
      <c r="M23" s="12"/>
      <c r="N23" s="11"/>
      <c r="O23" s="12"/>
      <c r="P23" s="12"/>
      <c r="Q23" s="11"/>
      <c r="R23" s="12"/>
      <c r="S23" s="12"/>
    </row>
    <row r="24" spans="1:19" ht="12.75">
      <c r="A24" s="1" t="s">
        <v>12</v>
      </c>
      <c r="B24" s="11"/>
      <c r="C24" s="12"/>
      <c r="D24" s="12"/>
      <c r="E24" s="11"/>
      <c r="F24" s="12"/>
      <c r="G24" s="12"/>
      <c r="H24" s="11"/>
      <c r="I24" s="12"/>
      <c r="J24" s="12"/>
      <c r="K24" s="11"/>
      <c r="L24" s="12"/>
      <c r="M24" s="12"/>
      <c r="N24" s="11"/>
      <c r="O24" s="12"/>
      <c r="P24" s="12"/>
      <c r="Q24" s="11"/>
      <c r="R24" s="12"/>
      <c r="S24" s="12"/>
    </row>
    <row r="25" spans="1:19" ht="12.75">
      <c r="A25" s="2" t="s">
        <v>45</v>
      </c>
      <c r="B25" s="11">
        <v>235</v>
      </c>
      <c r="C25" s="12">
        <v>608</v>
      </c>
      <c r="D25" s="12">
        <f>SUM(B25:C25)</f>
        <v>843</v>
      </c>
      <c r="E25" s="11">
        <v>153</v>
      </c>
      <c r="F25" s="12">
        <v>289</v>
      </c>
      <c r="G25" s="12">
        <f>SUM(E25:F25)</f>
        <v>442</v>
      </c>
      <c r="H25" s="11">
        <v>46</v>
      </c>
      <c r="I25" s="12">
        <v>409</v>
      </c>
      <c r="J25" s="12">
        <f>SUM(H25:I25)</f>
        <v>455</v>
      </c>
      <c r="K25" s="11">
        <v>62</v>
      </c>
      <c r="L25" s="12">
        <v>155</v>
      </c>
      <c r="M25" s="12">
        <f>SUM(K25:L25)</f>
        <v>217</v>
      </c>
      <c r="N25" s="11">
        <f aca="true" t="shared" si="6" ref="N25:O28">SUM(B25,H25)</f>
        <v>281</v>
      </c>
      <c r="O25" s="12">
        <f t="shared" si="6"/>
        <v>1017</v>
      </c>
      <c r="P25" s="12">
        <f>SUM(N25:O25)</f>
        <v>1298</v>
      </c>
      <c r="Q25" s="11">
        <f aca="true" t="shared" si="7" ref="Q25:R28">SUM(E25,K25)</f>
        <v>215</v>
      </c>
      <c r="R25" s="12">
        <f t="shared" si="7"/>
        <v>444</v>
      </c>
      <c r="S25" s="12">
        <f>SUM(Q25:R25)</f>
        <v>659</v>
      </c>
    </row>
    <row r="26" spans="1:19" ht="12.75">
      <c r="A26" s="2" t="s">
        <v>8</v>
      </c>
      <c r="B26" s="11">
        <v>969</v>
      </c>
      <c r="C26" s="12">
        <v>1600</v>
      </c>
      <c r="D26" s="12">
        <f>SUM(B26:C26)</f>
        <v>2569</v>
      </c>
      <c r="E26" s="11">
        <v>289</v>
      </c>
      <c r="F26" s="12">
        <v>494</v>
      </c>
      <c r="G26" s="12">
        <f>SUM(E26:F26)</f>
        <v>783</v>
      </c>
      <c r="H26" s="11">
        <v>166</v>
      </c>
      <c r="I26" s="12">
        <v>1174</v>
      </c>
      <c r="J26" s="12">
        <f>SUM(H26:I26)</f>
        <v>1340</v>
      </c>
      <c r="K26" s="11">
        <v>136</v>
      </c>
      <c r="L26" s="12">
        <v>409</v>
      </c>
      <c r="M26" s="12">
        <f>SUM(K26:L26)</f>
        <v>545</v>
      </c>
      <c r="N26" s="11">
        <f t="shared" si="6"/>
        <v>1135</v>
      </c>
      <c r="O26" s="12">
        <f t="shared" si="6"/>
        <v>2774</v>
      </c>
      <c r="P26" s="12">
        <f>SUM(N26:O26)</f>
        <v>3909</v>
      </c>
      <c r="Q26" s="11">
        <f t="shared" si="7"/>
        <v>425</v>
      </c>
      <c r="R26" s="12">
        <f t="shared" si="7"/>
        <v>903</v>
      </c>
      <c r="S26" s="12">
        <f>SUM(Q26:R26)</f>
        <v>1328</v>
      </c>
    </row>
    <row r="27" spans="1:19" ht="12.75">
      <c r="A27" s="2" t="s">
        <v>9</v>
      </c>
      <c r="B27" s="11">
        <v>45</v>
      </c>
      <c r="C27" s="12">
        <v>82</v>
      </c>
      <c r="D27" s="12">
        <f>SUM(B27:C27)</f>
        <v>127</v>
      </c>
      <c r="E27" s="11">
        <v>15</v>
      </c>
      <c r="F27" s="12">
        <v>29</v>
      </c>
      <c r="G27" s="12">
        <f>SUM(E27:F27)</f>
        <v>44</v>
      </c>
      <c r="H27" s="11">
        <v>10</v>
      </c>
      <c r="I27" s="12">
        <v>47</v>
      </c>
      <c r="J27" s="12">
        <f>SUM(H27:I27)</f>
        <v>57</v>
      </c>
      <c r="K27" s="11">
        <v>5</v>
      </c>
      <c r="L27" s="12">
        <v>31</v>
      </c>
      <c r="M27" s="12">
        <f>SUM(K27:L27)</f>
        <v>36</v>
      </c>
      <c r="N27" s="11">
        <f t="shared" si="6"/>
        <v>55</v>
      </c>
      <c r="O27" s="12">
        <f t="shared" si="6"/>
        <v>129</v>
      </c>
      <c r="P27" s="12">
        <f>SUM(N27:O27)</f>
        <v>184</v>
      </c>
      <c r="Q27" s="11">
        <f t="shared" si="7"/>
        <v>20</v>
      </c>
      <c r="R27" s="12">
        <f t="shared" si="7"/>
        <v>60</v>
      </c>
      <c r="S27" s="12">
        <f>SUM(Q27:R27)</f>
        <v>80</v>
      </c>
    </row>
    <row r="28" spans="1:19" ht="12.75">
      <c r="A28" s="2" t="s">
        <v>10</v>
      </c>
      <c r="B28" s="11">
        <v>58</v>
      </c>
      <c r="C28" s="12">
        <v>128</v>
      </c>
      <c r="D28" s="12">
        <f>SUM(B28:C28)</f>
        <v>186</v>
      </c>
      <c r="E28" s="11">
        <v>41</v>
      </c>
      <c r="F28" s="12">
        <v>61</v>
      </c>
      <c r="G28" s="12">
        <f>SUM(E28:F28)</f>
        <v>102</v>
      </c>
      <c r="H28" s="11">
        <v>15</v>
      </c>
      <c r="I28" s="12">
        <v>88</v>
      </c>
      <c r="J28" s="12">
        <f>SUM(H28:I28)</f>
        <v>103</v>
      </c>
      <c r="K28" s="11">
        <v>20</v>
      </c>
      <c r="L28" s="12">
        <v>33</v>
      </c>
      <c r="M28" s="12">
        <f>SUM(K28:L28)</f>
        <v>53</v>
      </c>
      <c r="N28" s="11">
        <f t="shared" si="6"/>
        <v>73</v>
      </c>
      <c r="O28" s="12">
        <f t="shared" si="6"/>
        <v>216</v>
      </c>
      <c r="P28" s="12">
        <f>SUM(N28:O28)</f>
        <v>289</v>
      </c>
      <c r="Q28" s="11">
        <f t="shared" si="7"/>
        <v>61</v>
      </c>
      <c r="R28" s="12">
        <f t="shared" si="7"/>
        <v>94</v>
      </c>
      <c r="S28" s="12">
        <f>SUM(Q28:R28)</f>
        <v>155</v>
      </c>
    </row>
    <row r="29" spans="1:19" ht="12.75">
      <c r="A29" s="19" t="s">
        <v>4</v>
      </c>
      <c r="B29" s="72">
        <f aca="true" t="shared" si="8" ref="B29:S29">SUM(B25:B28)</f>
        <v>1307</v>
      </c>
      <c r="C29" s="73">
        <f t="shared" si="8"/>
        <v>2418</v>
      </c>
      <c r="D29" s="73">
        <f t="shared" si="8"/>
        <v>3725</v>
      </c>
      <c r="E29" s="72">
        <f t="shared" si="8"/>
        <v>498</v>
      </c>
      <c r="F29" s="73">
        <f t="shared" si="8"/>
        <v>873</v>
      </c>
      <c r="G29" s="73">
        <f t="shared" si="8"/>
        <v>1371</v>
      </c>
      <c r="H29" s="72">
        <f t="shared" si="8"/>
        <v>237</v>
      </c>
      <c r="I29" s="73">
        <f t="shared" si="8"/>
        <v>1718</v>
      </c>
      <c r="J29" s="73">
        <f t="shared" si="8"/>
        <v>1955</v>
      </c>
      <c r="K29" s="72">
        <f t="shared" si="8"/>
        <v>223</v>
      </c>
      <c r="L29" s="73">
        <f t="shared" si="8"/>
        <v>628</v>
      </c>
      <c r="M29" s="73">
        <f t="shared" si="8"/>
        <v>851</v>
      </c>
      <c r="N29" s="72">
        <f t="shared" si="8"/>
        <v>1544</v>
      </c>
      <c r="O29" s="73">
        <f t="shared" si="8"/>
        <v>4136</v>
      </c>
      <c r="P29" s="73">
        <f t="shared" si="8"/>
        <v>5680</v>
      </c>
      <c r="Q29" s="72">
        <f t="shared" si="8"/>
        <v>721</v>
      </c>
      <c r="R29" s="73">
        <f t="shared" si="8"/>
        <v>1501</v>
      </c>
      <c r="S29" s="73">
        <f t="shared" si="8"/>
        <v>2222</v>
      </c>
    </row>
    <row r="30" spans="1:19" ht="12.75">
      <c r="A30" s="3"/>
      <c r="B30" s="11"/>
      <c r="C30" s="12"/>
      <c r="D30" s="12"/>
      <c r="E30" s="11"/>
      <c r="F30" s="12"/>
      <c r="G30" s="12"/>
      <c r="H30" s="11"/>
      <c r="I30" s="12"/>
      <c r="J30" s="12"/>
      <c r="K30" s="11"/>
      <c r="L30" s="12"/>
      <c r="M30" s="12"/>
      <c r="N30" s="11"/>
      <c r="O30" s="12"/>
      <c r="P30" s="12"/>
      <c r="Q30" s="11"/>
      <c r="R30" s="12"/>
      <c r="S30" s="12"/>
    </row>
    <row r="31" spans="1:19" ht="12.75">
      <c r="A31" s="1" t="s">
        <v>13</v>
      </c>
      <c r="B31" s="11"/>
      <c r="C31" s="12"/>
      <c r="D31" s="12"/>
      <c r="E31" s="11"/>
      <c r="F31" s="12"/>
      <c r="G31" s="12"/>
      <c r="H31" s="11"/>
      <c r="I31" s="12"/>
      <c r="J31" s="12"/>
      <c r="K31" s="11"/>
      <c r="L31" s="12"/>
      <c r="M31" s="12"/>
      <c r="N31" s="11"/>
      <c r="O31" s="12"/>
      <c r="P31" s="12"/>
      <c r="Q31" s="11"/>
      <c r="R31" s="12"/>
      <c r="S31" s="12"/>
    </row>
    <row r="32" spans="1:19" ht="12.75">
      <c r="A32" s="2" t="s">
        <v>45</v>
      </c>
      <c r="B32" s="11">
        <v>29</v>
      </c>
      <c r="C32" s="12">
        <v>108</v>
      </c>
      <c r="D32" s="12">
        <f>SUM(B32:C32)</f>
        <v>137</v>
      </c>
      <c r="E32" s="11">
        <v>15</v>
      </c>
      <c r="F32" s="12">
        <v>72</v>
      </c>
      <c r="G32" s="12">
        <f>SUM(E32:F32)</f>
        <v>87</v>
      </c>
      <c r="H32" s="11">
        <v>5</v>
      </c>
      <c r="I32" s="12">
        <v>66</v>
      </c>
      <c r="J32" s="12">
        <f>SUM(H32:I32)</f>
        <v>71</v>
      </c>
      <c r="K32" s="11">
        <v>9</v>
      </c>
      <c r="L32" s="12">
        <v>64</v>
      </c>
      <c r="M32" s="12">
        <f>SUM(K32:L32)</f>
        <v>73</v>
      </c>
      <c r="N32" s="11">
        <f aca="true" t="shared" si="9" ref="N32:O35">SUM(B32,H32)</f>
        <v>34</v>
      </c>
      <c r="O32" s="12">
        <f t="shared" si="9"/>
        <v>174</v>
      </c>
      <c r="P32" s="12">
        <f>SUM(N32:O32)</f>
        <v>208</v>
      </c>
      <c r="Q32" s="11">
        <f aca="true" t="shared" si="10" ref="Q32:R35">SUM(E32,K32)</f>
        <v>24</v>
      </c>
      <c r="R32" s="12">
        <f t="shared" si="10"/>
        <v>136</v>
      </c>
      <c r="S32" s="12">
        <f>SUM(Q32:R32)</f>
        <v>160</v>
      </c>
    </row>
    <row r="33" spans="1:19" ht="12.75">
      <c r="A33" s="2" t="s">
        <v>8</v>
      </c>
      <c r="B33" s="11">
        <v>80</v>
      </c>
      <c r="C33" s="12">
        <v>196</v>
      </c>
      <c r="D33" s="12">
        <f>SUM(B33:C33)</f>
        <v>276</v>
      </c>
      <c r="E33" s="11">
        <v>25</v>
      </c>
      <c r="F33" s="12">
        <v>101</v>
      </c>
      <c r="G33" s="12">
        <f>SUM(E33:F33)</f>
        <v>126</v>
      </c>
      <c r="H33" s="11">
        <v>18</v>
      </c>
      <c r="I33" s="12">
        <v>183</v>
      </c>
      <c r="J33" s="12">
        <f>SUM(H33:I33)</f>
        <v>201</v>
      </c>
      <c r="K33" s="11">
        <v>16</v>
      </c>
      <c r="L33" s="12">
        <v>128</v>
      </c>
      <c r="M33" s="12">
        <f>SUM(K33:L33)</f>
        <v>144</v>
      </c>
      <c r="N33" s="11">
        <f t="shared" si="9"/>
        <v>98</v>
      </c>
      <c r="O33" s="12">
        <f t="shared" si="9"/>
        <v>379</v>
      </c>
      <c r="P33" s="12">
        <f>SUM(N33:O33)</f>
        <v>477</v>
      </c>
      <c r="Q33" s="11">
        <f t="shared" si="10"/>
        <v>41</v>
      </c>
      <c r="R33" s="12">
        <f t="shared" si="10"/>
        <v>229</v>
      </c>
      <c r="S33" s="12">
        <f>SUM(Q33:R33)</f>
        <v>270</v>
      </c>
    </row>
    <row r="34" spans="1:19" ht="12.75">
      <c r="A34" s="2" t="s">
        <v>9</v>
      </c>
      <c r="B34" s="11">
        <v>1</v>
      </c>
      <c r="C34" s="12">
        <v>3</v>
      </c>
      <c r="D34" s="12">
        <f>SUM(B34:C34)</f>
        <v>4</v>
      </c>
      <c r="E34" s="11">
        <v>1</v>
      </c>
      <c r="F34" s="12">
        <v>1</v>
      </c>
      <c r="G34" s="12">
        <f>SUM(E34:F34)</f>
        <v>2</v>
      </c>
      <c r="H34" s="11">
        <v>1</v>
      </c>
      <c r="I34" s="12">
        <v>3</v>
      </c>
      <c r="J34" s="12">
        <f>SUM(H34:I34)</f>
        <v>4</v>
      </c>
      <c r="K34" s="13">
        <v>1</v>
      </c>
      <c r="L34" s="12">
        <v>7</v>
      </c>
      <c r="M34" s="12">
        <f>SUM(K34:L34)</f>
        <v>8</v>
      </c>
      <c r="N34" s="11">
        <f t="shared" si="9"/>
        <v>2</v>
      </c>
      <c r="O34" s="12">
        <f t="shared" si="9"/>
        <v>6</v>
      </c>
      <c r="P34" s="12">
        <f>SUM(N34:O34)</f>
        <v>8</v>
      </c>
      <c r="Q34" s="11">
        <f t="shared" si="10"/>
        <v>2</v>
      </c>
      <c r="R34" s="12">
        <f t="shared" si="10"/>
        <v>8</v>
      </c>
      <c r="S34" s="12">
        <f>SUM(Q34:R34)</f>
        <v>10</v>
      </c>
    </row>
    <row r="35" spans="1:19" ht="12.75">
      <c r="A35" s="2" t="s">
        <v>10</v>
      </c>
      <c r="B35" s="11">
        <v>13</v>
      </c>
      <c r="C35" s="12">
        <v>39</v>
      </c>
      <c r="D35" s="12">
        <f>SUM(B35:C35)</f>
        <v>52</v>
      </c>
      <c r="E35" s="11">
        <v>5</v>
      </c>
      <c r="F35" s="12">
        <v>15</v>
      </c>
      <c r="G35" s="12">
        <f>SUM(E35:F35)</f>
        <v>20</v>
      </c>
      <c r="H35" s="11">
        <v>2</v>
      </c>
      <c r="I35" s="12">
        <v>32</v>
      </c>
      <c r="J35" s="12">
        <f>SUM(H35:I35)</f>
        <v>34</v>
      </c>
      <c r="K35" s="11">
        <v>3</v>
      </c>
      <c r="L35" s="12">
        <v>22</v>
      </c>
      <c r="M35" s="12">
        <f>SUM(K35:L35)</f>
        <v>25</v>
      </c>
      <c r="N35" s="11">
        <f t="shared" si="9"/>
        <v>15</v>
      </c>
      <c r="O35" s="12">
        <f t="shared" si="9"/>
        <v>71</v>
      </c>
      <c r="P35" s="12">
        <f>SUM(N35:O35)</f>
        <v>86</v>
      </c>
      <c r="Q35" s="11">
        <f t="shared" si="10"/>
        <v>8</v>
      </c>
      <c r="R35" s="12">
        <f t="shared" si="10"/>
        <v>37</v>
      </c>
      <c r="S35" s="12">
        <f>SUM(Q35:R35)</f>
        <v>45</v>
      </c>
    </row>
    <row r="36" spans="1:19" ht="12.75">
      <c r="A36" s="19" t="s">
        <v>4</v>
      </c>
      <c r="B36" s="72">
        <f aca="true" t="shared" si="11" ref="B36:S36">SUM(B32:B35)</f>
        <v>123</v>
      </c>
      <c r="C36" s="73">
        <f t="shared" si="11"/>
        <v>346</v>
      </c>
      <c r="D36" s="73">
        <f t="shared" si="11"/>
        <v>469</v>
      </c>
      <c r="E36" s="72">
        <f t="shared" si="11"/>
        <v>46</v>
      </c>
      <c r="F36" s="73">
        <f t="shared" si="11"/>
        <v>189</v>
      </c>
      <c r="G36" s="73">
        <f t="shared" si="11"/>
        <v>235</v>
      </c>
      <c r="H36" s="72">
        <f t="shared" si="11"/>
        <v>26</v>
      </c>
      <c r="I36" s="73">
        <f t="shared" si="11"/>
        <v>284</v>
      </c>
      <c r="J36" s="73">
        <f t="shared" si="11"/>
        <v>310</v>
      </c>
      <c r="K36" s="72">
        <f t="shared" si="11"/>
        <v>29</v>
      </c>
      <c r="L36" s="73">
        <f t="shared" si="11"/>
        <v>221</v>
      </c>
      <c r="M36" s="73">
        <f t="shared" si="11"/>
        <v>250</v>
      </c>
      <c r="N36" s="72">
        <f t="shared" si="11"/>
        <v>149</v>
      </c>
      <c r="O36" s="73">
        <f t="shared" si="11"/>
        <v>630</v>
      </c>
      <c r="P36" s="73">
        <f t="shared" si="11"/>
        <v>779</v>
      </c>
      <c r="Q36" s="72">
        <f t="shared" si="11"/>
        <v>75</v>
      </c>
      <c r="R36" s="73">
        <f t="shared" si="11"/>
        <v>410</v>
      </c>
      <c r="S36" s="73">
        <f t="shared" si="11"/>
        <v>485</v>
      </c>
    </row>
    <row r="37" spans="1:19" ht="12.75">
      <c r="A37" s="19"/>
      <c r="B37" s="23"/>
      <c r="C37" s="24"/>
      <c r="D37" s="24"/>
      <c r="E37" s="23"/>
      <c r="F37" s="24"/>
      <c r="G37" s="24"/>
      <c r="H37" s="23"/>
      <c r="I37" s="24"/>
      <c r="J37" s="24"/>
      <c r="K37" s="23"/>
      <c r="L37" s="24"/>
      <c r="M37" s="24"/>
      <c r="N37" s="23"/>
      <c r="O37" s="24"/>
      <c r="P37" s="24"/>
      <c r="Q37" s="23"/>
      <c r="R37" s="24"/>
      <c r="S37" s="24"/>
    </row>
    <row r="38" spans="1:19" ht="12.75">
      <c r="A38" s="1" t="s">
        <v>113</v>
      </c>
      <c r="B38" s="11"/>
      <c r="C38" s="12"/>
      <c r="D38" s="12"/>
      <c r="E38" s="11"/>
      <c r="F38" s="12"/>
      <c r="G38" s="12"/>
      <c r="H38" s="11"/>
      <c r="I38" s="12"/>
      <c r="J38" s="12"/>
      <c r="K38" s="11"/>
      <c r="L38" s="12"/>
      <c r="M38" s="12"/>
      <c r="N38" s="11"/>
      <c r="O38" s="12"/>
      <c r="P38" s="12"/>
      <c r="Q38" s="11"/>
      <c r="R38" s="12"/>
      <c r="S38" s="12"/>
    </row>
    <row r="39" spans="1:19" ht="12.75">
      <c r="A39" s="2" t="s">
        <v>45</v>
      </c>
      <c r="B39" s="11">
        <v>0</v>
      </c>
      <c r="C39" s="12">
        <v>0</v>
      </c>
      <c r="D39" s="12">
        <f>SUM(B39:C39)</f>
        <v>0</v>
      </c>
      <c r="E39" s="11">
        <v>0</v>
      </c>
      <c r="F39" s="12">
        <v>0</v>
      </c>
      <c r="G39" s="12">
        <f>SUM(E39:F39)</f>
        <v>0</v>
      </c>
      <c r="H39" s="11">
        <v>0</v>
      </c>
      <c r="I39" s="12">
        <v>0</v>
      </c>
      <c r="J39" s="12">
        <f>SUM(H39:I39)</f>
        <v>0</v>
      </c>
      <c r="K39" s="11">
        <v>0</v>
      </c>
      <c r="L39" s="12">
        <v>0</v>
      </c>
      <c r="M39" s="12">
        <f>SUM(K39:L39)</f>
        <v>0</v>
      </c>
      <c r="N39" s="11">
        <f aca="true" t="shared" si="12" ref="N39:O42">SUM(B39,H39)</f>
        <v>0</v>
      </c>
      <c r="O39" s="12">
        <f t="shared" si="12"/>
        <v>0</v>
      </c>
      <c r="P39" s="12">
        <f>SUM(N39:O39)</f>
        <v>0</v>
      </c>
      <c r="Q39" s="11">
        <f aca="true" t="shared" si="13" ref="Q39:R42">SUM(E39,K39)</f>
        <v>0</v>
      </c>
      <c r="R39" s="12">
        <f t="shared" si="13"/>
        <v>0</v>
      </c>
      <c r="S39" s="12">
        <f>SUM(Q39:R39)</f>
        <v>0</v>
      </c>
    </row>
    <row r="40" spans="1:19" ht="12.75">
      <c r="A40" s="2" t="s">
        <v>8</v>
      </c>
      <c r="B40" s="11">
        <v>2</v>
      </c>
      <c r="C40" s="12">
        <v>9</v>
      </c>
      <c r="D40" s="12">
        <f>SUM(B40:C40)</f>
        <v>11</v>
      </c>
      <c r="E40" s="11">
        <v>0</v>
      </c>
      <c r="F40" s="12">
        <v>5</v>
      </c>
      <c r="G40" s="12">
        <f>SUM(E40:F40)</f>
        <v>5</v>
      </c>
      <c r="H40" s="11">
        <v>0</v>
      </c>
      <c r="I40" s="12">
        <v>4</v>
      </c>
      <c r="J40" s="12">
        <f>SUM(H40:I40)</f>
        <v>4</v>
      </c>
      <c r="K40" s="11">
        <v>0</v>
      </c>
      <c r="L40" s="12">
        <v>3</v>
      </c>
      <c r="M40" s="12">
        <f>SUM(K40:L40)</f>
        <v>3</v>
      </c>
      <c r="N40" s="11">
        <f t="shared" si="12"/>
        <v>2</v>
      </c>
      <c r="O40" s="12">
        <f t="shared" si="12"/>
        <v>13</v>
      </c>
      <c r="P40" s="12">
        <f>SUM(N40:O40)</f>
        <v>15</v>
      </c>
      <c r="Q40" s="11">
        <f t="shared" si="13"/>
        <v>0</v>
      </c>
      <c r="R40" s="12">
        <f t="shared" si="13"/>
        <v>8</v>
      </c>
      <c r="S40" s="12">
        <f>SUM(Q40:R40)</f>
        <v>8</v>
      </c>
    </row>
    <row r="41" spans="1:19" ht="12.75">
      <c r="A41" s="2" t="s">
        <v>9</v>
      </c>
      <c r="B41" s="11">
        <v>0</v>
      </c>
      <c r="C41" s="12">
        <v>0</v>
      </c>
      <c r="D41" s="12">
        <f>SUM(B41:C41)</f>
        <v>0</v>
      </c>
      <c r="E41" s="11">
        <v>0</v>
      </c>
      <c r="F41" s="12">
        <v>0</v>
      </c>
      <c r="G41" s="12">
        <f>SUM(E41:F41)</f>
        <v>0</v>
      </c>
      <c r="H41" s="11">
        <v>0</v>
      </c>
      <c r="I41" s="12">
        <v>0</v>
      </c>
      <c r="J41" s="12">
        <f>SUM(H41:I41)</f>
        <v>0</v>
      </c>
      <c r="K41" s="13">
        <v>0</v>
      </c>
      <c r="L41" s="12">
        <v>0</v>
      </c>
      <c r="M41" s="12">
        <f>SUM(K41:L41)</f>
        <v>0</v>
      </c>
      <c r="N41" s="11">
        <f t="shared" si="12"/>
        <v>0</v>
      </c>
      <c r="O41" s="12">
        <f t="shared" si="12"/>
        <v>0</v>
      </c>
      <c r="P41" s="12">
        <f>SUM(N41:O41)</f>
        <v>0</v>
      </c>
      <c r="Q41" s="11">
        <f t="shared" si="13"/>
        <v>0</v>
      </c>
      <c r="R41" s="12">
        <f t="shared" si="13"/>
        <v>0</v>
      </c>
      <c r="S41" s="12">
        <f>SUM(Q41:R41)</f>
        <v>0</v>
      </c>
    </row>
    <row r="42" spans="1:19" ht="12.75">
      <c r="A42" s="2" t="s">
        <v>10</v>
      </c>
      <c r="B42" s="11">
        <v>0</v>
      </c>
      <c r="C42" s="12">
        <v>0</v>
      </c>
      <c r="D42" s="12">
        <f>SUM(B42:C42)</f>
        <v>0</v>
      </c>
      <c r="E42" s="11">
        <v>0</v>
      </c>
      <c r="F42" s="12">
        <v>0</v>
      </c>
      <c r="G42" s="12">
        <f>SUM(E42:F42)</f>
        <v>0</v>
      </c>
      <c r="H42" s="11">
        <v>0</v>
      </c>
      <c r="I42" s="12">
        <v>0</v>
      </c>
      <c r="J42" s="12">
        <f>SUM(H42:I42)</f>
        <v>0</v>
      </c>
      <c r="K42" s="11">
        <v>0</v>
      </c>
      <c r="L42" s="12">
        <v>0</v>
      </c>
      <c r="M42" s="12">
        <f>SUM(K42:L42)</f>
        <v>0</v>
      </c>
      <c r="N42" s="11">
        <f t="shared" si="12"/>
        <v>0</v>
      </c>
      <c r="O42" s="12">
        <f t="shared" si="12"/>
        <v>0</v>
      </c>
      <c r="P42" s="12">
        <f>SUM(N42:O42)</f>
        <v>0</v>
      </c>
      <c r="Q42" s="11">
        <f t="shared" si="13"/>
        <v>0</v>
      </c>
      <c r="R42" s="12">
        <f t="shared" si="13"/>
        <v>0</v>
      </c>
      <c r="S42" s="12">
        <f>SUM(Q42:R42)</f>
        <v>0</v>
      </c>
    </row>
    <row r="43" spans="1:19" ht="12.75">
      <c r="A43" s="19" t="s">
        <v>4</v>
      </c>
      <c r="B43" s="72">
        <f aca="true" t="shared" si="14" ref="B43:S43">SUM(B39:B42)</f>
        <v>2</v>
      </c>
      <c r="C43" s="73">
        <f t="shared" si="14"/>
        <v>9</v>
      </c>
      <c r="D43" s="73">
        <f t="shared" si="14"/>
        <v>11</v>
      </c>
      <c r="E43" s="72">
        <f t="shared" si="14"/>
        <v>0</v>
      </c>
      <c r="F43" s="73">
        <f t="shared" si="14"/>
        <v>5</v>
      </c>
      <c r="G43" s="73">
        <f t="shared" si="14"/>
        <v>5</v>
      </c>
      <c r="H43" s="72">
        <f t="shared" si="14"/>
        <v>0</v>
      </c>
      <c r="I43" s="73">
        <f t="shared" si="14"/>
        <v>4</v>
      </c>
      <c r="J43" s="73">
        <f t="shared" si="14"/>
        <v>4</v>
      </c>
      <c r="K43" s="72">
        <f t="shared" si="14"/>
        <v>0</v>
      </c>
      <c r="L43" s="73">
        <f t="shared" si="14"/>
        <v>3</v>
      </c>
      <c r="M43" s="73">
        <f t="shared" si="14"/>
        <v>3</v>
      </c>
      <c r="N43" s="72">
        <f t="shared" si="14"/>
        <v>2</v>
      </c>
      <c r="O43" s="73">
        <f t="shared" si="14"/>
        <v>13</v>
      </c>
      <c r="P43" s="73">
        <f t="shared" si="14"/>
        <v>15</v>
      </c>
      <c r="Q43" s="72">
        <f t="shared" si="14"/>
        <v>0</v>
      </c>
      <c r="R43" s="73">
        <f t="shared" si="14"/>
        <v>8</v>
      </c>
      <c r="S43" s="73">
        <f t="shared" si="14"/>
        <v>8</v>
      </c>
    </row>
    <row r="44" spans="1:19" ht="12.75">
      <c r="A44" s="2"/>
      <c r="B44" s="11"/>
      <c r="C44" s="12"/>
      <c r="D44" s="12"/>
      <c r="E44" s="11"/>
      <c r="F44" s="12"/>
      <c r="G44" s="12"/>
      <c r="H44" s="11"/>
      <c r="I44" s="12"/>
      <c r="J44" s="12"/>
      <c r="K44" s="11"/>
      <c r="L44" s="12"/>
      <c r="M44" s="12"/>
      <c r="N44" s="11"/>
      <c r="O44" s="12"/>
      <c r="P44" s="12"/>
      <c r="Q44" s="11"/>
      <c r="R44" s="12"/>
      <c r="S44" s="12"/>
    </row>
    <row r="45" spans="1:19" ht="12.75">
      <c r="A45" s="1" t="s">
        <v>14</v>
      </c>
      <c r="B45" s="11"/>
      <c r="C45" s="12"/>
      <c r="D45" s="12"/>
      <c r="E45" s="11"/>
      <c r="F45" s="12"/>
      <c r="G45" s="12"/>
      <c r="H45" s="11"/>
      <c r="I45" s="12"/>
      <c r="J45" s="12"/>
      <c r="K45" s="11"/>
      <c r="L45" s="12"/>
      <c r="M45" s="12"/>
      <c r="N45" s="11"/>
      <c r="O45" s="12"/>
      <c r="P45" s="12"/>
      <c r="Q45" s="11"/>
      <c r="R45" s="12"/>
      <c r="S45" s="12"/>
    </row>
    <row r="46" spans="1:19" ht="12.75">
      <c r="A46" s="19" t="s">
        <v>4</v>
      </c>
      <c r="B46" s="23">
        <v>415</v>
      </c>
      <c r="C46" s="24">
        <v>562</v>
      </c>
      <c r="D46" s="24">
        <f>SUM(B46:C46)</f>
        <v>977</v>
      </c>
      <c r="E46" s="23">
        <v>241</v>
      </c>
      <c r="F46" s="24">
        <v>362</v>
      </c>
      <c r="G46" s="24">
        <f>SUM(E46:F46)</f>
        <v>603</v>
      </c>
      <c r="H46" s="23">
        <v>69</v>
      </c>
      <c r="I46" s="24">
        <v>508</v>
      </c>
      <c r="J46" s="24">
        <f>SUM(H46:I46)</f>
        <v>577</v>
      </c>
      <c r="K46" s="23">
        <v>50</v>
      </c>
      <c r="L46" s="24">
        <v>239</v>
      </c>
      <c r="M46" s="24">
        <f>SUM(K46:L46)</f>
        <v>289</v>
      </c>
      <c r="N46" s="23">
        <f>SUM(B46,H46)</f>
        <v>484</v>
      </c>
      <c r="O46" s="24">
        <f>SUM(C46,I46)</f>
        <v>1070</v>
      </c>
      <c r="P46" s="24">
        <f>SUM(N46:O46)</f>
        <v>1554</v>
      </c>
      <c r="Q46" s="23">
        <f>SUM(E46,K46)</f>
        <v>291</v>
      </c>
      <c r="R46" s="24">
        <f>SUM(F46,L46)</f>
        <v>601</v>
      </c>
      <c r="S46" s="24">
        <f>SUM(Q46:R46)</f>
        <v>892</v>
      </c>
    </row>
    <row r="47" spans="1:19" ht="12.75">
      <c r="A47" s="2"/>
      <c r="B47" s="11"/>
      <c r="C47" s="12"/>
      <c r="D47" s="12"/>
      <c r="E47" s="11"/>
      <c r="F47" s="12"/>
      <c r="G47" s="12"/>
      <c r="H47" s="11"/>
      <c r="I47" s="12"/>
      <c r="J47" s="12"/>
      <c r="K47" s="11"/>
      <c r="L47" s="12"/>
      <c r="M47" s="12"/>
      <c r="N47" s="11"/>
      <c r="O47" s="12"/>
      <c r="P47" s="12"/>
      <c r="Q47" s="11"/>
      <c r="R47" s="12"/>
      <c r="S47" s="12"/>
    </row>
    <row r="48" spans="1:19" s="77" customFormat="1" ht="12.75">
      <c r="A48" s="74" t="s">
        <v>68</v>
      </c>
      <c r="B48" s="86"/>
      <c r="C48" s="87"/>
      <c r="D48" s="166"/>
      <c r="E48" s="86"/>
      <c r="F48" s="87"/>
      <c r="G48" s="87"/>
      <c r="H48" s="86"/>
      <c r="I48" s="87"/>
      <c r="J48" s="87"/>
      <c r="K48" s="86"/>
      <c r="L48" s="87"/>
      <c r="M48" s="87"/>
      <c r="N48" s="86"/>
      <c r="O48" s="87"/>
      <c r="P48" s="87"/>
      <c r="Q48" s="86"/>
      <c r="R48" s="87"/>
      <c r="S48" s="87"/>
    </row>
    <row r="49" spans="1:19" s="77" customFormat="1" ht="12.75">
      <c r="A49" s="89" t="s">
        <v>4</v>
      </c>
      <c r="B49" s="93">
        <v>0</v>
      </c>
      <c r="C49" s="94">
        <v>0</v>
      </c>
      <c r="D49" s="94">
        <f>SUM(B49,C49)</f>
        <v>0</v>
      </c>
      <c r="E49" s="93">
        <v>4</v>
      </c>
      <c r="F49" s="94">
        <v>11</v>
      </c>
      <c r="G49" s="94">
        <f>SUM(E49:F49)</f>
        <v>15</v>
      </c>
      <c r="H49" s="93">
        <v>0</v>
      </c>
      <c r="I49" s="94">
        <v>0</v>
      </c>
      <c r="J49" s="94">
        <f>SUM(H49:I49)</f>
        <v>0</v>
      </c>
      <c r="K49" s="93">
        <v>2</v>
      </c>
      <c r="L49" s="94">
        <v>59</v>
      </c>
      <c r="M49" s="94">
        <f>SUM(K49:L49)</f>
        <v>61</v>
      </c>
      <c r="N49" s="93">
        <f>SUM(B49,H49)</f>
        <v>0</v>
      </c>
      <c r="O49" s="94">
        <f>SUM(C49,I49)</f>
        <v>0</v>
      </c>
      <c r="P49" s="94">
        <f>SUM(N49:O49)</f>
        <v>0</v>
      </c>
      <c r="Q49" s="93">
        <f>SUM(E49,K49)</f>
        <v>6</v>
      </c>
      <c r="R49" s="94">
        <f>SUM(F49,L49)</f>
        <v>70</v>
      </c>
      <c r="S49" s="94">
        <f>SUM(Q49:R49)</f>
        <v>76</v>
      </c>
    </row>
    <row r="50" spans="1:19" ht="12.75">
      <c r="A50" s="2"/>
      <c r="B50" s="11"/>
      <c r="C50" s="12"/>
      <c r="D50" s="12"/>
      <c r="E50" s="11"/>
      <c r="F50" s="12"/>
      <c r="G50" s="12"/>
      <c r="H50" s="11"/>
      <c r="I50" s="12"/>
      <c r="J50" s="12"/>
      <c r="K50" s="11"/>
      <c r="L50" s="12"/>
      <c r="M50" s="12"/>
      <c r="N50" s="11"/>
      <c r="O50" s="12"/>
      <c r="P50" s="12"/>
      <c r="Q50" s="11"/>
      <c r="R50" s="12"/>
      <c r="S50" s="12"/>
    </row>
    <row r="51" spans="1:19" ht="12.75">
      <c r="A51" s="1" t="s">
        <v>61</v>
      </c>
      <c r="B51" s="11"/>
      <c r="C51" s="12"/>
      <c r="D51" s="12"/>
      <c r="E51" s="11"/>
      <c r="F51" s="12"/>
      <c r="G51" s="12"/>
      <c r="H51" s="11"/>
      <c r="I51" s="12"/>
      <c r="J51" s="12"/>
      <c r="K51" s="11"/>
      <c r="L51" s="12"/>
      <c r="M51" s="12"/>
      <c r="N51" s="11"/>
      <c r="O51" s="12"/>
      <c r="P51" s="12"/>
      <c r="Q51" s="11"/>
      <c r="R51" s="12"/>
      <c r="S51" s="12"/>
    </row>
    <row r="52" spans="1:19" ht="12.75">
      <c r="A52" s="2" t="s">
        <v>45</v>
      </c>
      <c r="B52" s="11">
        <v>11</v>
      </c>
      <c r="C52" s="18">
        <v>50</v>
      </c>
      <c r="D52" s="12">
        <f>SUM(B52:C52)</f>
        <v>61</v>
      </c>
      <c r="E52" s="11">
        <v>16</v>
      </c>
      <c r="F52" s="12">
        <v>47</v>
      </c>
      <c r="G52" s="12">
        <f>SUM(E52:F52)</f>
        <v>63</v>
      </c>
      <c r="H52" s="11">
        <v>3</v>
      </c>
      <c r="I52" s="12">
        <v>32</v>
      </c>
      <c r="J52" s="12">
        <f>SUM(H52:I52)</f>
        <v>35</v>
      </c>
      <c r="K52" s="11">
        <v>13</v>
      </c>
      <c r="L52" s="12">
        <v>39</v>
      </c>
      <c r="M52" s="12">
        <f>SUM(K52:L52)</f>
        <v>52</v>
      </c>
      <c r="N52" s="11">
        <f aca="true" t="shared" si="15" ref="N52:O55">SUM(B52,H52)</f>
        <v>14</v>
      </c>
      <c r="O52" s="12">
        <f t="shared" si="15"/>
        <v>82</v>
      </c>
      <c r="P52" s="12">
        <f>SUM(N52:O52)</f>
        <v>96</v>
      </c>
      <c r="Q52" s="11">
        <f aca="true" t="shared" si="16" ref="Q52:R55">SUM(E52,K52)</f>
        <v>29</v>
      </c>
      <c r="R52" s="12">
        <f t="shared" si="16"/>
        <v>86</v>
      </c>
      <c r="S52" s="12">
        <f>SUM(Q52:R52)</f>
        <v>115</v>
      </c>
    </row>
    <row r="53" spans="1:19" ht="12.75">
      <c r="A53" s="2" t="s">
        <v>8</v>
      </c>
      <c r="B53" s="11">
        <v>17</v>
      </c>
      <c r="C53" s="12">
        <v>65</v>
      </c>
      <c r="D53" s="12">
        <f>SUM(B53:C53)</f>
        <v>82</v>
      </c>
      <c r="E53" s="11">
        <v>18</v>
      </c>
      <c r="F53" s="12">
        <v>41</v>
      </c>
      <c r="G53" s="12">
        <f>SUM(E53:F53)</f>
        <v>59</v>
      </c>
      <c r="H53" s="11">
        <v>2</v>
      </c>
      <c r="I53" s="12">
        <v>53</v>
      </c>
      <c r="J53" s="12">
        <f>SUM(H53:I53)</f>
        <v>55</v>
      </c>
      <c r="K53" s="11">
        <v>15</v>
      </c>
      <c r="L53" s="12">
        <v>43</v>
      </c>
      <c r="M53" s="12">
        <f>SUM(K53:L53)</f>
        <v>58</v>
      </c>
      <c r="N53" s="11">
        <f t="shared" si="15"/>
        <v>19</v>
      </c>
      <c r="O53" s="12">
        <f t="shared" si="15"/>
        <v>118</v>
      </c>
      <c r="P53" s="12">
        <f>SUM(N53:O53)</f>
        <v>137</v>
      </c>
      <c r="Q53" s="11">
        <f t="shared" si="16"/>
        <v>33</v>
      </c>
      <c r="R53" s="12">
        <f t="shared" si="16"/>
        <v>84</v>
      </c>
      <c r="S53" s="12">
        <f>SUM(Q53:R53)</f>
        <v>117</v>
      </c>
    </row>
    <row r="54" spans="1:19" ht="12.75">
      <c r="A54" s="2" t="s">
        <v>9</v>
      </c>
      <c r="B54" s="11">
        <v>7</v>
      </c>
      <c r="C54" s="12">
        <v>20</v>
      </c>
      <c r="D54" s="12">
        <f>SUM(B54:C54)</f>
        <v>27</v>
      </c>
      <c r="E54" s="13">
        <v>6</v>
      </c>
      <c r="F54" s="12">
        <v>7</v>
      </c>
      <c r="G54" s="12">
        <f>SUM(E54:F54)</f>
        <v>13</v>
      </c>
      <c r="H54" s="11">
        <v>0</v>
      </c>
      <c r="I54" s="12">
        <v>13</v>
      </c>
      <c r="J54" s="12">
        <f>SUM(H54:I54)</f>
        <v>13</v>
      </c>
      <c r="K54" s="11">
        <v>3</v>
      </c>
      <c r="L54" s="12">
        <v>11</v>
      </c>
      <c r="M54" s="12">
        <f>SUM(K54:L54)</f>
        <v>14</v>
      </c>
      <c r="N54" s="11">
        <f t="shared" si="15"/>
        <v>7</v>
      </c>
      <c r="O54" s="12">
        <f t="shared" si="15"/>
        <v>33</v>
      </c>
      <c r="P54" s="12">
        <f>SUM(N54:O54)</f>
        <v>40</v>
      </c>
      <c r="Q54" s="11">
        <f t="shared" si="16"/>
        <v>9</v>
      </c>
      <c r="R54" s="12">
        <f t="shared" si="16"/>
        <v>18</v>
      </c>
      <c r="S54" s="12">
        <f>SUM(Q54:R54)</f>
        <v>27</v>
      </c>
    </row>
    <row r="55" spans="1:19" ht="12.75">
      <c r="A55" s="2" t="s">
        <v>10</v>
      </c>
      <c r="B55" s="11">
        <v>7</v>
      </c>
      <c r="C55" s="12">
        <v>16</v>
      </c>
      <c r="D55" s="12">
        <f>SUM(B55:C55)</f>
        <v>23</v>
      </c>
      <c r="E55" s="11">
        <v>3</v>
      </c>
      <c r="F55" s="12">
        <v>23</v>
      </c>
      <c r="G55" s="12">
        <f>SUM(E55:F55)</f>
        <v>26</v>
      </c>
      <c r="H55" s="11">
        <v>0</v>
      </c>
      <c r="I55" s="12">
        <v>22</v>
      </c>
      <c r="J55" s="12">
        <f>SUM(H55:I55)</f>
        <v>22</v>
      </c>
      <c r="K55" s="11">
        <v>4</v>
      </c>
      <c r="L55" s="12">
        <v>9</v>
      </c>
      <c r="M55" s="12">
        <f>SUM(K55:L55)</f>
        <v>13</v>
      </c>
      <c r="N55" s="11">
        <f t="shared" si="15"/>
        <v>7</v>
      </c>
      <c r="O55" s="12">
        <f t="shared" si="15"/>
        <v>38</v>
      </c>
      <c r="P55" s="12">
        <f>SUM(N55:O55)</f>
        <v>45</v>
      </c>
      <c r="Q55" s="11">
        <f t="shared" si="16"/>
        <v>7</v>
      </c>
      <c r="R55" s="12">
        <f t="shared" si="16"/>
        <v>32</v>
      </c>
      <c r="S55" s="12">
        <f>SUM(Q55:R55)</f>
        <v>39</v>
      </c>
    </row>
    <row r="56" spans="1:19" ht="12.75">
      <c r="A56" s="19" t="s">
        <v>4</v>
      </c>
      <c r="B56" s="72">
        <f aca="true" t="shared" si="17" ref="B56:S56">SUM(B52:B55)</f>
        <v>42</v>
      </c>
      <c r="C56" s="73">
        <f t="shared" si="17"/>
        <v>151</v>
      </c>
      <c r="D56" s="73">
        <f t="shared" si="17"/>
        <v>193</v>
      </c>
      <c r="E56" s="72">
        <f t="shared" si="17"/>
        <v>43</v>
      </c>
      <c r="F56" s="73">
        <f t="shared" si="17"/>
        <v>118</v>
      </c>
      <c r="G56" s="73">
        <f t="shared" si="17"/>
        <v>161</v>
      </c>
      <c r="H56" s="72">
        <f t="shared" si="17"/>
        <v>5</v>
      </c>
      <c r="I56" s="73">
        <f t="shared" si="17"/>
        <v>120</v>
      </c>
      <c r="J56" s="73">
        <f t="shared" si="17"/>
        <v>125</v>
      </c>
      <c r="K56" s="72">
        <f t="shared" si="17"/>
        <v>35</v>
      </c>
      <c r="L56" s="73">
        <f t="shared" si="17"/>
        <v>102</v>
      </c>
      <c r="M56" s="73">
        <f t="shared" si="17"/>
        <v>137</v>
      </c>
      <c r="N56" s="72">
        <f t="shared" si="17"/>
        <v>47</v>
      </c>
      <c r="O56" s="73">
        <f t="shared" si="17"/>
        <v>271</v>
      </c>
      <c r="P56" s="73">
        <f t="shared" si="17"/>
        <v>318</v>
      </c>
      <c r="Q56" s="72">
        <f t="shared" si="17"/>
        <v>78</v>
      </c>
      <c r="R56" s="73">
        <f t="shared" si="17"/>
        <v>220</v>
      </c>
      <c r="S56" s="73">
        <f t="shared" si="17"/>
        <v>298</v>
      </c>
    </row>
    <row r="57" spans="1:19" ht="12.75">
      <c r="A57" s="2"/>
      <c r="B57" s="11"/>
      <c r="C57" s="12"/>
      <c r="D57" s="12"/>
      <c r="E57" s="11"/>
      <c r="F57" s="12"/>
      <c r="G57" s="12"/>
      <c r="H57" s="11"/>
      <c r="I57" s="12"/>
      <c r="J57" s="12"/>
      <c r="K57" s="11"/>
      <c r="L57" s="12"/>
      <c r="M57" s="12"/>
      <c r="N57" s="11"/>
      <c r="O57" s="12"/>
      <c r="P57" s="12"/>
      <c r="Q57" s="11"/>
      <c r="R57" s="12"/>
      <c r="S57" s="12"/>
    </row>
    <row r="58" spans="1:19" ht="12.75">
      <c r="A58" s="1" t="s">
        <v>62</v>
      </c>
      <c r="B58" s="11"/>
      <c r="C58" s="12"/>
      <c r="D58" s="12"/>
      <c r="E58" s="11"/>
      <c r="F58" s="12"/>
      <c r="G58" s="12"/>
      <c r="H58" s="11"/>
      <c r="I58" s="12"/>
      <c r="J58" s="12"/>
      <c r="K58" s="11"/>
      <c r="L58" s="12"/>
      <c r="M58" s="12"/>
      <c r="N58" s="11"/>
      <c r="O58" s="12"/>
      <c r="P58" s="12"/>
      <c r="Q58" s="11"/>
      <c r="R58" s="12"/>
      <c r="S58" s="12"/>
    </row>
    <row r="59" spans="1:19" ht="12.75">
      <c r="A59" s="2" t="s">
        <v>45</v>
      </c>
      <c r="B59" s="13">
        <v>1</v>
      </c>
      <c r="C59" s="18">
        <v>3</v>
      </c>
      <c r="D59" s="18">
        <f>SUM(B59:C59)</f>
        <v>4</v>
      </c>
      <c r="E59" s="11">
        <v>1</v>
      </c>
      <c r="F59" s="18">
        <v>2</v>
      </c>
      <c r="G59" s="12">
        <f>SUM(E59:F59)</f>
        <v>3</v>
      </c>
      <c r="H59" s="11">
        <v>0</v>
      </c>
      <c r="I59" s="12">
        <v>4</v>
      </c>
      <c r="J59" s="12">
        <f>SUM(H59:I59)</f>
        <v>4</v>
      </c>
      <c r="K59" s="11">
        <v>2</v>
      </c>
      <c r="L59" s="12">
        <v>1</v>
      </c>
      <c r="M59" s="12">
        <f>SUM(K59:L59)</f>
        <v>3</v>
      </c>
      <c r="N59" s="11">
        <f aca="true" t="shared" si="18" ref="N59:O62">SUM(B59,H59)</f>
        <v>1</v>
      </c>
      <c r="O59" s="12">
        <f t="shared" si="18"/>
        <v>7</v>
      </c>
      <c r="P59" s="12">
        <f>SUM(N59:O59)</f>
        <v>8</v>
      </c>
      <c r="Q59" s="11">
        <f aca="true" t="shared" si="19" ref="Q59:R62">SUM(E59,K59)</f>
        <v>3</v>
      </c>
      <c r="R59" s="12">
        <f t="shared" si="19"/>
        <v>3</v>
      </c>
      <c r="S59" s="12">
        <f>SUM(Q59:R59)</f>
        <v>6</v>
      </c>
    </row>
    <row r="60" spans="1:19" ht="12.75">
      <c r="A60" s="2" t="s">
        <v>8</v>
      </c>
      <c r="B60" s="11">
        <v>2</v>
      </c>
      <c r="C60" s="12">
        <v>5</v>
      </c>
      <c r="D60" s="12">
        <f>SUM(B60:C60)</f>
        <v>7</v>
      </c>
      <c r="E60" s="11">
        <v>0</v>
      </c>
      <c r="F60" s="12">
        <v>1</v>
      </c>
      <c r="G60" s="12">
        <f>SUM(E60:F60)</f>
        <v>1</v>
      </c>
      <c r="H60" s="11">
        <v>0</v>
      </c>
      <c r="I60" s="12">
        <v>6</v>
      </c>
      <c r="J60" s="12">
        <f>SUM(H60:I60)</f>
        <v>6</v>
      </c>
      <c r="K60" s="11">
        <v>0</v>
      </c>
      <c r="L60" s="12">
        <v>6</v>
      </c>
      <c r="M60" s="12">
        <f>SUM(K60:L60)</f>
        <v>6</v>
      </c>
      <c r="N60" s="11">
        <f t="shared" si="18"/>
        <v>2</v>
      </c>
      <c r="O60" s="12">
        <f t="shared" si="18"/>
        <v>11</v>
      </c>
      <c r="P60" s="12">
        <f>SUM(N60:O60)</f>
        <v>13</v>
      </c>
      <c r="Q60" s="11">
        <f t="shared" si="19"/>
        <v>0</v>
      </c>
      <c r="R60" s="12">
        <f t="shared" si="19"/>
        <v>7</v>
      </c>
      <c r="S60" s="12">
        <f>SUM(Q60:R60)</f>
        <v>7</v>
      </c>
    </row>
    <row r="61" spans="1:19" ht="12.75">
      <c r="A61" s="2" t="s">
        <v>9</v>
      </c>
      <c r="B61" s="11">
        <v>0</v>
      </c>
      <c r="C61" s="18">
        <v>1</v>
      </c>
      <c r="D61" s="12">
        <f>SUM(B61:C61)</f>
        <v>1</v>
      </c>
      <c r="E61" s="11">
        <v>0</v>
      </c>
      <c r="F61" s="18">
        <v>0</v>
      </c>
      <c r="G61" s="12">
        <f>SUM(E61:F61)</f>
        <v>0</v>
      </c>
      <c r="H61" s="11">
        <v>1</v>
      </c>
      <c r="I61" s="12">
        <v>2</v>
      </c>
      <c r="J61" s="12">
        <f>SUM(H61:I61)</f>
        <v>3</v>
      </c>
      <c r="K61" s="11">
        <v>1</v>
      </c>
      <c r="L61" s="12">
        <v>3</v>
      </c>
      <c r="M61" s="12">
        <f>SUM(K61:L61)</f>
        <v>4</v>
      </c>
      <c r="N61" s="11">
        <f t="shared" si="18"/>
        <v>1</v>
      </c>
      <c r="O61" s="12">
        <f t="shared" si="18"/>
        <v>3</v>
      </c>
      <c r="P61" s="12">
        <f>SUM(N61:O61)</f>
        <v>4</v>
      </c>
      <c r="Q61" s="11">
        <f t="shared" si="19"/>
        <v>1</v>
      </c>
      <c r="R61" s="12">
        <f t="shared" si="19"/>
        <v>3</v>
      </c>
      <c r="S61" s="12">
        <f>SUM(Q61:R61)</f>
        <v>4</v>
      </c>
    </row>
    <row r="62" spans="1:19" ht="12.75">
      <c r="A62" s="2" t="s">
        <v>10</v>
      </c>
      <c r="B62" s="11">
        <v>0</v>
      </c>
      <c r="C62" s="12">
        <v>1</v>
      </c>
      <c r="D62" s="12">
        <f>SUM(B62:C62)</f>
        <v>1</v>
      </c>
      <c r="E62" s="11">
        <v>1</v>
      </c>
      <c r="F62" s="18">
        <v>1</v>
      </c>
      <c r="G62" s="12">
        <f>SUM(E62:F62)</f>
        <v>2</v>
      </c>
      <c r="H62" s="11">
        <v>0</v>
      </c>
      <c r="I62" s="12">
        <v>1</v>
      </c>
      <c r="J62" s="12">
        <f>SUM(H62:I62)</f>
        <v>1</v>
      </c>
      <c r="K62" s="11">
        <v>0</v>
      </c>
      <c r="L62" s="12">
        <v>2</v>
      </c>
      <c r="M62" s="12">
        <f>SUM(K62:L62)</f>
        <v>2</v>
      </c>
      <c r="N62" s="11">
        <f t="shared" si="18"/>
        <v>0</v>
      </c>
      <c r="O62" s="12">
        <f t="shared" si="18"/>
        <v>2</v>
      </c>
      <c r="P62" s="12">
        <f>SUM(N62:O62)</f>
        <v>2</v>
      </c>
      <c r="Q62" s="11">
        <f t="shared" si="19"/>
        <v>1</v>
      </c>
      <c r="R62" s="12">
        <f t="shared" si="19"/>
        <v>3</v>
      </c>
      <c r="S62" s="12">
        <f>SUM(Q62:R62)</f>
        <v>4</v>
      </c>
    </row>
    <row r="63" spans="1:19" ht="12.75">
      <c r="A63" s="19" t="s">
        <v>4</v>
      </c>
      <c r="B63" s="72">
        <f aca="true" t="shared" si="20" ref="B63:S63">SUM(B59:B62)</f>
        <v>3</v>
      </c>
      <c r="C63" s="73">
        <f t="shared" si="20"/>
        <v>10</v>
      </c>
      <c r="D63" s="73">
        <f t="shared" si="20"/>
        <v>13</v>
      </c>
      <c r="E63" s="72">
        <f t="shared" si="20"/>
        <v>2</v>
      </c>
      <c r="F63" s="73">
        <f t="shared" si="20"/>
        <v>4</v>
      </c>
      <c r="G63" s="73">
        <f t="shared" si="20"/>
        <v>6</v>
      </c>
      <c r="H63" s="72">
        <f t="shared" si="20"/>
        <v>1</v>
      </c>
      <c r="I63" s="73">
        <f t="shared" si="20"/>
        <v>13</v>
      </c>
      <c r="J63" s="73">
        <f t="shared" si="20"/>
        <v>14</v>
      </c>
      <c r="K63" s="72">
        <f t="shared" si="20"/>
        <v>3</v>
      </c>
      <c r="L63" s="73">
        <f t="shared" si="20"/>
        <v>12</v>
      </c>
      <c r="M63" s="73">
        <f t="shared" si="20"/>
        <v>15</v>
      </c>
      <c r="N63" s="72">
        <f t="shared" si="20"/>
        <v>4</v>
      </c>
      <c r="O63" s="73">
        <f t="shared" si="20"/>
        <v>23</v>
      </c>
      <c r="P63" s="73">
        <f t="shared" si="20"/>
        <v>27</v>
      </c>
      <c r="Q63" s="72">
        <f t="shared" si="20"/>
        <v>5</v>
      </c>
      <c r="R63" s="73">
        <f t="shared" si="20"/>
        <v>16</v>
      </c>
      <c r="S63" s="73">
        <f t="shared" si="20"/>
        <v>21</v>
      </c>
    </row>
    <row r="64" spans="1:19" ht="12.75">
      <c r="A64" s="2"/>
      <c r="B64" s="11"/>
      <c r="C64" s="12"/>
      <c r="D64" s="12"/>
      <c r="E64" s="11"/>
      <c r="F64" s="12"/>
      <c r="G64" s="12"/>
      <c r="H64" s="11"/>
      <c r="I64" s="12"/>
      <c r="J64" s="12"/>
      <c r="K64" s="11"/>
      <c r="L64" s="12"/>
      <c r="M64" s="12"/>
      <c r="N64" s="11"/>
      <c r="O64" s="12"/>
      <c r="P64" s="12"/>
      <c r="Q64" s="11"/>
      <c r="R64" s="12"/>
      <c r="S64" s="12"/>
    </row>
    <row r="65" spans="1:19" ht="12.75">
      <c r="A65" s="1" t="s">
        <v>15</v>
      </c>
      <c r="B65" s="11"/>
      <c r="C65" s="12"/>
      <c r="D65" s="12"/>
      <c r="E65" s="11"/>
      <c r="F65" s="12"/>
      <c r="G65" s="12"/>
      <c r="H65" s="11"/>
      <c r="I65" s="12"/>
      <c r="J65" s="12"/>
      <c r="K65" s="11"/>
      <c r="L65" s="12"/>
      <c r="M65" s="12"/>
      <c r="N65" s="11"/>
      <c r="O65" s="12"/>
      <c r="P65" s="12"/>
      <c r="Q65" s="11"/>
      <c r="R65" s="12"/>
      <c r="S65" s="12"/>
    </row>
    <row r="66" spans="1:19" ht="12.75">
      <c r="A66" s="2" t="s">
        <v>45</v>
      </c>
      <c r="B66" s="11">
        <v>2</v>
      </c>
      <c r="C66" s="18">
        <v>2</v>
      </c>
      <c r="D66" s="12">
        <f>SUM(B66:C66)</f>
        <v>4</v>
      </c>
      <c r="E66" s="11">
        <v>2</v>
      </c>
      <c r="F66" s="12">
        <v>0</v>
      </c>
      <c r="G66" s="12">
        <f>SUM(E66:F66)</f>
        <v>2</v>
      </c>
      <c r="H66" s="11">
        <v>7</v>
      </c>
      <c r="I66" s="12">
        <v>16</v>
      </c>
      <c r="J66" s="12">
        <f>SUM(H66:I66)</f>
        <v>23</v>
      </c>
      <c r="K66" s="11">
        <v>4</v>
      </c>
      <c r="L66" s="12">
        <v>11</v>
      </c>
      <c r="M66" s="12">
        <f>SUM(K66:L66)</f>
        <v>15</v>
      </c>
      <c r="N66" s="11">
        <f aca="true" t="shared" si="21" ref="N66:O69">SUM(B66,H66)</f>
        <v>9</v>
      </c>
      <c r="O66" s="12">
        <f t="shared" si="21"/>
        <v>18</v>
      </c>
      <c r="P66" s="12">
        <f>SUM(N66:O66)</f>
        <v>27</v>
      </c>
      <c r="Q66" s="11">
        <f aca="true" t="shared" si="22" ref="Q66:R69">SUM(E66,K66)</f>
        <v>6</v>
      </c>
      <c r="R66" s="12">
        <f t="shared" si="22"/>
        <v>11</v>
      </c>
      <c r="S66" s="12">
        <f>SUM(Q66:R66)</f>
        <v>17</v>
      </c>
    </row>
    <row r="67" spans="1:19" ht="12.75">
      <c r="A67" s="2" t="s">
        <v>8</v>
      </c>
      <c r="B67" s="11">
        <v>0</v>
      </c>
      <c r="C67" s="12">
        <v>1</v>
      </c>
      <c r="D67" s="12">
        <f>SUM(B67:C67)</f>
        <v>1</v>
      </c>
      <c r="E67" s="11">
        <v>0</v>
      </c>
      <c r="F67" s="12">
        <v>0</v>
      </c>
      <c r="G67" s="12">
        <f>SUM(E67:F67)</f>
        <v>0</v>
      </c>
      <c r="H67" s="11">
        <v>0</v>
      </c>
      <c r="I67" s="12">
        <v>2</v>
      </c>
      <c r="J67" s="12">
        <f>SUM(H67:I67)</f>
        <v>2</v>
      </c>
      <c r="K67" s="11">
        <v>1</v>
      </c>
      <c r="L67" s="12">
        <v>1</v>
      </c>
      <c r="M67" s="12">
        <f>SUM(K67:L67)</f>
        <v>2</v>
      </c>
      <c r="N67" s="11">
        <f t="shared" si="21"/>
        <v>0</v>
      </c>
      <c r="O67" s="12">
        <f t="shared" si="21"/>
        <v>3</v>
      </c>
      <c r="P67" s="12">
        <f>SUM(N67:O67)</f>
        <v>3</v>
      </c>
      <c r="Q67" s="11">
        <f t="shared" si="22"/>
        <v>1</v>
      </c>
      <c r="R67" s="12">
        <f t="shared" si="22"/>
        <v>1</v>
      </c>
      <c r="S67" s="12">
        <f>SUM(Q67:R67)</f>
        <v>2</v>
      </c>
    </row>
    <row r="68" spans="1:19" ht="12.75">
      <c r="A68" s="2" t="s">
        <v>9</v>
      </c>
      <c r="B68" s="11">
        <v>0</v>
      </c>
      <c r="C68" s="12">
        <v>0</v>
      </c>
      <c r="D68" s="12">
        <f>SUM(B68:C68)</f>
        <v>0</v>
      </c>
      <c r="E68" s="13">
        <v>0</v>
      </c>
      <c r="F68" s="12">
        <v>0</v>
      </c>
      <c r="G68" s="12">
        <f>SUM(E68:F68)</f>
        <v>0</v>
      </c>
      <c r="H68" s="11">
        <v>0</v>
      </c>
      <c r="I68" s="12">
        <v>0</v>
      </c>
      <c r="J68" s="12">
        <f>SUM(H68:I68)</f>
        <v>0</v>
      </c>
      <c r="K68" s="11">
        <v>0</v>
      </c>
      <c r="L68" s="12">
        <v>0</v>
      </c>
      <c r="M68" s="12">
        <f>SUM(K68:L68)</f>
        <v>0</v>
      </c>
      <c r="N68" s="11">
        <f t="shared" si="21"/>
        <v>0</v>
      </c>
      <c r="O68" s="12">
        <f t="shared" si="21"/>
        <v>0</v>
      </c>
      <c r="P68" s="12">
        <f>SUM(N68:O68)</f>
        <v>0</v>
      </c>
      <c r="Q68" s="11">
        <f t="shared" si="22"/>
        <v>0</v>
      </c>
      <c r="R68" s="12">
        <f t="shared" si="22"/>
        <v>0</v>
      </c>
      <c r="S68" s="12">
        <f>SUM(Q68:R68)</f>
        <v>0</v>
      </c>
    </row>
    <row r="69" spans="1:19" ht="12.75">
      <c r="A69" s="2" t="s">
        <v>10</v>
      </c>
      <c r="B69" s="11">
        <v>15</v>
      </c>
      <c r="C69" s="12">
        <v>23</v>
      </c>
      <c r="D69" s="12">
        <f>SUM(B69:C69)</f>
        <v>38</v>
      </c>
      <c r="E69" s="11">
        <v>5</v>
      </c>
      <c r="F69" s="12">
        <v>2</v>
      </c>
      <c r="G69" s="12">
        <f>SUM(E69:F69)</f>
        <v>7</v>
      </c>
      <c r="H69" s="11">
        <v>18</v>
      </c>
      <c r="I69" s="12">
        <v>106</v>
      </c>
      <c r="J69" s="12">
        <f>SUM(H69:I69)</f>
        <v>124</v>
      </c>
      <c r="K69" s="11">
        <v>31</v>
      </c>
      <c r="L69" s="12">
        <v>83</v>
      </c>
      <c r="M69" s="12">
        <f>SUM(K69:L69)</f>
        <v>114</v>
      </c>
      <c r="N69" s="11">
        <f t="shared" si="21"/>
        <v>33</v>
      </c>
      <c r="O69" s="12">
        <f t="shared" si="21"/>
        <v>129</v>
      </c>
      <c r="P69" s="12">
        <f>SUM(N69:O69)</f>
        <v>162</v>
      </c>
      <c r="Q69" s="11">
        <f t="shared" si="22"/>
        <v>36</v>
      </c>
      <c r="R69" s="12">
        <f t="shared" si="22"/>
        <v>85</v>
      </c>
      <c r="S69" s="12">
        <f>SUM(Q69:R69)</f>
        <v>121</v>
      </c>
    </row>
    <row r="70" spans="1:19" ht="12.75">
      <c r="A70" s="19" t="s">
        <v>4</v>
      </c>
      <c r="B70" s="72">
        <f aca="true" t="shared" si="23" ref="B70:S70">SUM(B66:B69)</f>
        <v>17</v>
      </c>
      <c r="C70" s="73">
        <f t="shared" si="23"/>
        <v>26</v>
      </c>
      <c r="D70" s="73">
        <f t="shared" si="23"/>
        <v>43</v>
      </c>
      <c r="E70" s="72">
        <f t="shared" si="23"/>
        <v>7</v>
      </c>
      <c r="F70" s="73">
        <f t="shared" si="23"/>
        <v>2</v>
      </c>
      <c r="G70" s="73">
        <f t="shared" si="23"/>
        <v>9</v>
      </c>
      <c r="H70" s="72">
        <f t="shared" si="23"/>
        <v>25</v>
      </c>
      <c r="I70" s="73">
        <f t="shared" si="23"/>
        <v>124</v>
      </c>
      <c r="J70" s="73">
        <f t="shared" si="23"/>
        <v>149</v>
      </c>
      <c r="K70" s="72">
        <f t="shared" si="23"/>
        <v>36</v>
      </c>
      <c r="L70" s="73">
        <f t="shared" si="23"/>
        <v>95</v>
      </c>
      <c r="M70" s="73">
        <f t="shared" si="23"/>
        <v>131</v>
      </c>
      <c r="N70" s="72">
        <f t="shared" si="23"/>
        <v>42</v>
      </c>
      <c r="O70" s="73">
        <f t="shared" si="23"/>
        <v>150</v>
      </c>
      <c r="P70" s="73">
        <f t="shared" si="23"/>
        <v>192</v>
      </c>
      <c r="Q70" s="72">
        <f t="shared" si="23"/>
        <v>43</v>
      </c>
      <c r="R70" s="73">
        <f t="shared" si="23"/>
        <v>97</v>
      </c>
      <c r="S70" s="73">
        <f t="shared" si="23"/>
        <v>140</v>
      </c>
    </row>
    <row r="71" spans="1:19" ht="12.75">
      <c r="A71" s="2"/>
      <c r="B71" s="11"/>
      <c r="C71" s="12"/>
      <c r="D71" s="12"/>
      <c r="E71" s="11"/>
      <c r="F71" s="12"/>
      <c r="G71" s="12"/>
      <c r="H71" s="11"/>
      <c r="I71" s="12"/>
      <c r="J71" s="12"/>
      <c r="K71" s="11"/>
      <c r="L71" s="12"/>
      <c r="M71" s="12"/>
      <c r="N71" s="11"/>
      <c r="O71" s="12"/>
      <c r="P71" s="12"/>
      <c r="Q71" s="11"/>
      <c r="R71" s="12"/>
      <c r="S71" s="12"/>
    </row>
    <row r="72" spans="1:19" ht="12.75">
      <c r="A72" s="1" t="s">
        <v>42</v>
      </c>
      <c r="B72" s="11"/>
      <c r="C72" s="12"/>
      <c r="D72" s="12"/>
      <c r="E72" s="11"/>
      <c r="F72" s="12"/>
      <c r="G72" s="12"/>
      <c r="H72" s="11"/>
      <c r="I72" s="12"/>
      <c r="J72" s="12"/>
      <c r="K72" s="11"/>
      <c r="L72" s="12"/>
      <c r="M72" s="12"/>
      <c r="N72" s="11"/>
      <c r="O72" s="12"/>
      <c r="P72" s="12"/>
      <c r="Q72" s="11"/>
      <c r="R72" s="12"/>
      <c r="S72" s="12"/>
    </row>
    <row r="73" spans="1:19" ht="12.75">
      <c r="A73" s="2" t="s">
        <v>45</v>
      </c>
      <c r="B73" s="13">
        <v>284</v>
      </c>
      <c r="C73" s="18">
        <v>674</v>
      </c>
      <c r="D73" s="18">
        <f>SUM(B73:C73)</f>
        <v>958</v>
      </c>
      <c r="E73" s="11">
        <v>138</v>
      </c>
      <c r="F73" s="18">
        <v>449</v>
      </c>
      <c r="G73" s="12">
        <f>SUM(E73:F73)</f>
        <v>587</v>
      </c>
      <c r="H73" s="11">
        <v>45</v>
      </c>
      <c r="I73" s="12">
        <v>463</v>
      </c>
      <c r="J73" s="12">
        <f>SUM(H73:I73)</f>
        <v>508</v>
      </c>
      <c r="K73" s="11">
        <v>58</v>
      </c>
      <c r="L73" s="12">
        <v>346</v>
      </c>
      <c r="M73" s="12">
        <f>SUM(K73:L73)</f>
        <v>404</v>
      </c>
      <c r="N73" s="11">
        <f aca="true" t="shared" si="24" ref="N73:O77">SUM(B73,H73)</f>
        <v>329</v>
      </c>
      <c r="O73" s="12">
        <f t="shared" si="24"/>
        <v>1137</v>
      </c>
      <c r="P73" s="12">
        <f>SUM(N73:O73)</f>
        <v>1466</v>
      </c>
      <c r="Q73" s="11">
        <f aca="true" t="shared" si="25" ref="Q73:R77">SUM(E73,K73)</f>
        <v>196</v>
      </c>
      <c r="R73" s="12">
        <f t="shared" si="25"/>
        <v>795</v>
      </c>
      <c r="S73" s="12">
        <f>SUM(Q73:R73)</f>
        <v>991</v>
      </c>
    </row>
    <row r="74" spans="1:19" ht="12.75">
      <c r="A74" s="2" t="s">
        <v>8</v>
      </c>
      <c r="B74" s="11">
        <v>382</v>
      </c>
      <c r="C74" s="12">
        <v>627</v>
      </c>
      <c r="D74" s="12">
        <f>SUM(B74:C74)</f>
        <v>1009</v>
      </c>
      <c r="E74" s="11">
        <v>78</v>
      </c>
      <c r="F74" s="12">
        <v>262</v>
      </c>
      <c r="G74" s="12">
        <f>SUM(E74:F74)</f>
        <v>340</v>
      </c>
      <c r="H74" s="11">
        <v>103</v>
      </c>
      <c r="I74" s="12">
        <v>1088</v>
      </c>
      <c r="J74" s="12">
        <f>SUM(H74:I74)</f>
        <v>1191</v>
      </c>
      <c r="K74" s="11">
        <v>65</v>
      </c>
      <c r="L74" s="12">
        <v>444</v>
      </c>
      <c r="M74" s="12">
        <f>SUM(K74:L74)</f>
        <v>509</v>
      </c>
      <c r="N74" s="11">
        <f t="shared" si="24"/>
        <v>485</v>
      </c>
      <c r="O74" s="12">
        <f t="shared" si="24"/>
        <v>1715</v>
      </c>
      <c r="P74" s="12">
        <f>SUM(N74:O74)</f>
        <v>2200</v>
      </c>
      <c r="Q74" s="11">
        <f t="shared" si="25"/>
        <v>143</v>
      </c>
      <c r="R74" s="12">
        <f t="shared" si="25"/>
        <v>706</v>
      </c>
      <c r="S74" s="12">
        <f>SUM(Q74:R74)</f>
        <v>849</v>
      </c>
    </row>
    <row r="75" spans="1:19" ht="12.75">
      <c r="A75" s="2" t="s">
        <v>9</v>
      </c>
      <c r="B75" s="11">
        <v>11</v>
      </c>
      <c r="C75" s="18">
        <v>14</v>
      </c>
      <c r="D75" s="12">
        <f>SUM(B75:C75)</f>
        <v>25</v>
      </c>
      <c r="E75" s="11">
        <v>2</v>
      </c>
      <c r="F75" s="18">
        <v>10</v>
      </c>
      <c r="G75" s="12">
        <f>SUM(E75:F75)</f>
        <v>12</v>
      </c>
      <c r="H75" s="11">
        <v>1</v>
      </c>
      <c r="I75" s="12">
        <v>28</v>
      </c>
      <c r="J75" s="12">
        <f>SUM(H75:I75)</f>
        <v>29</v>
      </c>
      <c r="K75" s="11">
        <v>5</v>
      </c>
      <c r="L75" s="12">
        <v>18</v>
      </c>
      <c r="M75" s="12">
        <f>SUM(K75:L75)</f>
        <v>23</v>
      </c>
      <c r="N75" s="11">
        <f t="shared" si="24"/>
        <v>12</v>
      </c>
      <c r="O75" s="12">
        <f t="shared" si="24"/>
        <v>42</v>
      </c>
      <c r="P75" s="12">
        <f>SUM(N75:O75)</f>
        <v>54</v>
      </c>
      <c r="Q75" s="11">
        <f t="shared" si="25"/>
        <v>7</v>
      </c>
      <c r="R75" s="12">
        <f t="shared" si="25"/>
        <v>28</v>
      </c>
      <c r="S75" s="12">
        <f>SUM(Q75:R75)</f>
        <v>35</v>
      </c>
    </row>
    <row r="76" spans="1:19" ht="12.75">
      <c r="A76" s="2" t="s">
        <v>10</v>
      </c>
      <c r="B76" s="11">
        <v>45</v>
      </c>
      <c r="C76" s="12">
        <v>59</v>
      </c>
      <c r="D76" s="12">
        <f>SUM(B76:C76)</f>
        <v>104</v>
      </c>
      <c r="E76" s="11">
        <v>9</v>
      </c>
      <c r="F76" s="18">
        <v>28</v>
      </c>
      <c r="G76" s="12">
        <f>SUM(E76:F76)</f>
        <v>37</v>
      </c>
      <c r="H76" s="11">
        <v>14</v>
      </c>
      <c r="I76" s="12">
        <v>76</v>
      </c>
      <c r="J76" s="12">
        <f>SUM(H76:I76)</f>
        <v>90</v>
      </c>
      <c r="K76" s="11">
        <v>4</v>
      </c>
      <c r="L76" s="12">
        <v>67</v>
      </c>
      <c r="M76" s="12">
        <f>SUM(K76:L76)</f>
        <v>71</v>
      </c>
      <c r="N76" s="11">
        <f t="shared" si="24"/>
        <v>59</v>
      </c>
      <c r="O76" s="12">
        <f t="shared" si="24"/>
        <v>135</v>
      </c>
      <c r="P76" s="12">
        <f>SUM(N76:O76)</f>
        <v>194</v>
      </c>
      <c r="Q76" s="11">
        <f t="shared" si="25"/>
        <v>13</v>
      </c>
      <c r="R76" s="12">
        <f t="shared" si="25"/>
        <v>95</v>
      </c>
      <c r="S76" s="12">
        <f>SUM(Q76:R76)</f>
        <v>108</v>
      </c>
    </row>
    <row r="77" spans="1:19" ht="12.75">
      <c r="A77" s="2" t="s">
        <v>16</v>
      </c>
      <c r="B77" s="11">
        <v>122</v>
      </c>
      <c r="C77" s="12">
        <v>62</v>
      </c>
      <c r="D77" s="12">
        <f>SUM(B77:C77)</f>
        <v>184</v>
      </c>
      <c r="E77" s="11">
        <v>60</v>
      </c>
      <c r="F77" s="18">
        <v>59</v>
      </c>
      <c r="G77" s="12">
        <f>SUM(E77:F77)</f>
        <v>119</v>
      </c>
      <c r="H77" s="11">
        <v>3</v>
      </c>
      <c r="I77" s="12">
        <v>9</v>
      </c>
      <c r="J77" s="12">
        <f>SUM(H77:I77)</f>
        <v>12</v>
      </c>
      <c r="K77" s="11">
        <v>2</v>
      </c>
      <c r="L77" s="12">
        <v>9</v>
      </c>
      <c r="M77" s="12">
        <f>SUM(K77:L77)</f>
        <v>11</v>
      </c>
      <c r="N77" s="11">
        <f t="shared" si="24"/>
        <v>125</v>
      </c>
      <c r="O77" s="12">
        <f t="shared" si="24"/>
        <v>71</v>
      </c>
      <c r="P77" s="12">
        <f>SUM(N77:O77)</f>
        <v>196</v>
      </c>
      <c r="Q77" s="11">
        <f t="shared" si="25"/>
        <v>62</v>
      </c>
      <c r="R77" s="12">
        <f t="shared" si="25"/>
        <v>68</v>
      </c>
      <c r="S77" s="12">
        <f>SUM(Q77:R77)</f>
        <v>130</v>
      </c>
    </row>
    <row r="78" spans="1:19" ht="12.75">
      <c r="A78" s="19" t="s">
        <v>4</v>
      </c>
      <c r="B78" s="72">
        <f>SUM(B73:B77)</f>
        <v>844</v>
      </c>
      <c r="C78" s="73">
        <f aca="true" t="shared" si="26" ref="C78:S78">SUM(C73:C77)</f>
        <v>1436</v>
      </c>
      <c r="D78" s="73">
        <f t="shared" si="26"/>
        <v>2280</v>
      </c>
      <c r="E78" s="72">
        <f t="shared" si="26"/>
        <v>287</v>
      </c>
      <c r="F78" s="73">
        <f t="shared" si="26"/>
        <v>808</v>
      </c>
      <c r="G78" s="73">
        <f t="shared" si="26"/>
        <v>1095</v>
      </c>
      <c r="H78" s="72">
        <f t="shared" si="26"/>
        <v>166</v>
      </c>
      <c r="I78" s="73">
        <f t="shared" si="26"/>
        <v>1664</v>
      </c>
      <c r="J78" s="73">
        <f t="shared" si="26"/>
        <v>1830</v>
      </c>
      <c r="K78" s="72">
        <f t="shared" si="26"/>
        <v>134</v>
      </c>
      <c r="L78" s="73">
        <f t="shared" si="26"/>
        <v>884</v>
      </c>
      <c r="M78" s="73">
        <f t="shared" si="26"/>
        <v>1018</v>
      </c>
      <c r="N78" s="72">
        <f t="shared" si="26"/>
        <v>1010</v>
      </c>
      <c r="O78" s="73">
        <f t="shared" si="26"/>
        <v>3100</v>
      </c>
      <c r="P78" s="73">
        <f t="shared" si="26"/>
        <v>4110</v>
      </c>
      <c r="Q78" s="72">
        <f t="shared" si="26"/>
        <v>421</v>
      </c>
      <c r="R78" s="73">
        <f t="shared" si="26"/>
        <v>1692</v>
      </c>
      <c r="S78" s="73">
        <f t="shared" si="26"/>
        <v>2113</v>
      </c>
    </row>
    <row r="79" spans="1:19" ht="12.75">
      <c r="A79" s="19"/>
      <c r="B79" s="23"/>
      <c r="C79" s="24"/>
      <c r="D79" s="24"/>
      <c r="E79" s="23"/>
      <c r="F79" s="24"/>
      <c r="G79" s="24"/>
      <c r="H79" s="23"/>
      <c r="I79" s="24"/>
      <c r="J79" s="24"/>
      <c r="K79" s="23"/>
      <c r="L79" s="24"/>
      <c r="M79" s="24"/>
      <c r="N79" s="23"/>
      <c r="O79" s="24"/>
      <c r="P79" s="24"/>
      <c r="Q79" s="23"/>
      <c r="R79" s="24"/>
      <c r="S79" s="24"/>
    </row>
    <row r="80" spans="1:19" s="132" customFormat="1" ht="12.75">
      <c r="A80" s="209" t="s">
        <v>58</v>
      </c>
      <c r="B80" s="11"/>
      <c r="C80" s="25"/>
      <c r="D80" s="25"/>
      <c r="E80" s="11"/>
      <c r="F80" s="25"/>
      <c r="G80" s="25"/>
      <c r="H80" s="11"/>
      <c r="I80" s="25"/>
      <c r="J80" s="25"/>
      <c r="K80" s="11"/>
      <c r="L80" s="25"/>
      <c r="M80" s="25"/>
      <c r="N80" s="11"/>
      <c r="O80" s="25"/>
      <c r="P80" s="25"/>
      <c r="Q80" s="11"/>
      <c r="R80" s="25"/>
      <c r="S80" s="25"/>
    </row>
    <row r="81" spans="1:19" s="132" customFormat="1" ht="25.5">
      <c r="A81" s="220" t="s">
        <v>80</v>
      </c>
      <c r="B81" s="23">
        <f>SUM(B78,B70,B63,B56,B46,B43,B36,B29,B22,B15)</f>
        <v>2961</v>
      </c>
      <c r="C81" s="24">
        <f aca="true" t="shared" si="27" ref="C81:S81">SUM(C78,C70,C63,C56,C46,C43,C36,C29,C22,C15)</f>
        <v>6027</v>
      </c>
      <c r="D81" s="24">
        <f t="shared" si="27"/>
        <v>8988</v>
      </c>
      <c r="E81" s="23">
        <f t="shared" si="27"/>
        <v>1214</v>
      </c>
      <c r="F81" s="24">
        <f t="shared" si="27"/>
        <v>2836</v>
      </c>
      <c r="G81" s="24">
        <f t="shared" si="27"/>
        <v>4050</v>
      </c>
      <c r="H81" s="23">
        <f t="shared" si="27"/>
        <v>802</v>
      </c>
      <c r="I81" s="24">
        <f t="shared" si="27"/>
        <v>8316</v>
      </c>
      <c r="J81" s="24">
        <f t="shared" si="27"/>
        <v>9118</v>
      </c>
      <c r="K81" s="23">
        <f t="shared" si="27"/>
        <v>803</v>
      </c>
      <c r="L81" s="24">
        <f t="shared" si="27"/>
        <v>4459</v>
      </c>
      <c r="M81" s="24">
        <f t="shared" si="27"/>
        <v>5262</v>
      </c>
      <c r="N81" s="23">
        <f t="shared" si="27"/>
        <v>3763</v>
      </c>
      <c r="O81" s="24">
        <f t="shared" si="27"/>
        <v>14343</v>
      </c>
      <c r="P81" s="24">
        <f t="shared" si="27"/>
        <v>18106</v>
      </c>
      <c r="Q81" s="23">
        <f t="shared" si="27"/>
        <v>2017</v>
      </c>
      <c r="R81" s="24">
        <f t="shared" si="27"/>
        <v>7295</v>
      </c>
      <c r="S81" s="24">
        <f t="shared" si="27"/>
        <v>9312</v>
      </c>
    </row>
    <row r="82" spans="1:19" ht="12.75">
      <c r="A82" s="230"/>
      <c r="B82" s="25"/>
      <c r="C82" s="25"/>
      <c r="D82" s="196"/>
      <c r="E82" s="11"/>
      <c r="F82" s="25"/>
      <c r="G82" s="196"/>
      <c r="H82" s="11"/>
      <c r="I82" s="25"/>
      <c r="J82" s="196"/>
      <c r="K82" s="11"/>
      <c r="L82" s="25"/>
      <c r="M82" s="196"/>
      <c r="N82" s="11"/>
      <c r="O82" s="25"/>
      <c r="P82" s="196"/>
      <c r="Q82" s="12"/>
      <c r="R82" s="12"/>
      <c r="S82" s="12"/>
    </row>
    <row r="83" spans="1:19" s="95" customFormat="1" ht="13.5" customHeight="1">
      <c r="A83" s="207" t="s">
        <v>121</v>
      </c>
      <c r="B83" s="86"/>
      <c r="C83" s="208"/>
      <c r="D83" s="208"/>
      <c r="E83" s="86"/>
      <c r="F83" s="208"/>
      <c r="G83" s="208"/>
      <c r="H83" s="86"/>
      <c r="I83" s="208"/>
      <c r="J83" s="208"/>
      <c r="K83" s="86"/>
      <c r="L83" s="208"/>
      <c r="M83" s="208"/>
      <c r="N83" s="86"/>
      <c r="O83" s="208"/>
      <c r="P83" s="208"/>
      <c r="Q83" s="86"/>
      <c r="R83" s="208"/>
      <c r="S83" s="208"/>
    </row>
    <row r="84" spans="1:19" s="95" customFormat="1" ht="25.5">
      <c r="A84" s="218" t="s">
        <v>122</v>
      </c>
      <c r="B84" s="93">
        <f>SUM(B78,B70,B63,B56,B46,B43,B36,B29,B22,B15,B49)</f>
        <v>2961</v>
      </c>
      <c r="C84" s="94">
        <f aca="true" t="shared" si="28" ref="C84:S84">SUM(C78,C70,C63,C56,C46,C43,C36,C29,C22,C15,C49)</f>
        <v>6027</v>
      </c>
      <c r="D84" s="166">
        <f t="shared" si="28"/>
        <v>8988</v>
      </c>
      <c r="E84" s="93">
        <f t="shared" si="28"/>
        <v>1218</v>
      </c>
      <c r="F84" s="94">
        <f t="shared" si="28"/>
        <v>2847</v>
      </c>
      <c r="G84" s="166">
        <f t="shared" si="28"/>
        <v>4065</v>
      </c>
      <c r="H84" s="93">
        <f t="shared" si="28"/>
        <v>802</v>
      </c>
      <c r="I84" s="94">
        <f t="shared" si="28"/>
        <v>8316</v>
      </c>
      <c r="J84" s="166">
        <f t="shared" si="28"/>
        <v>9118</v>
      </c>
      <c r="K84" s="93">
        <f t="shared" si="28"/>
        <v>805</v>
      </c>
      <c r="L84" s="94">
        <f t="shared" si="28"/>
        <v>4518</v>
      </c>
      <c r="M84" s="166">
        <f t="shared" si="28"/>
        <v>5323</v>
      </c>
      <c r="N84" s="93">
        <f t="shared" si="28"/>
        <v>3763</v>
      </c>
      <c r="O84" s="94">
        <f t="shared" si="28"/>
        <v>14343</v>
      </c>
      <c r="P84" s="166">
        <f t="shared" si="28"/>
        <v>18106</v>
      </c>
      <c r="Q84" s="93">
        <f t="shared" si="28"/>
        <v>2023</v>
      </c>
      <c r="R84" s="94">
        <f t="shared" si="28"/>
        <v>7365</v>
      </c>
      <c r="S84" s="94">
        <f t="shared" si="28"/>
        <v>9388</v>
      </c>
    </row>
    <row r="85" spans="2:19" ht="12.75">
      <c r="B85" s="12"/>
      <c r="C85" s="12"/>
      <c r="D85" s="12"/>
      <c r="E85" s="12"/>
      <c r="F85" s="12"/>
      <c r="G85" s="12"/>
      <c r="H85" s="12"/>
      <c r="I85" s="12"/>
      <c r="J85" s="12"/>
      <c r="K85" s="12"/>
      <c r="L85" s="12"/>
      <c r="M85" s="12"/>
      <c r="N85" s="12"/>
      <c r="O85" s="12"/>
      <c r="P85" s="12"/>
      <c r="Q85" s="12"/>
      <c r="R85" s="12"/>
      <c r="S85" s="12"/>
    </row>
    <row r="86" spans="1:19" ht="12.75">
      <c r="A86" s="191" t="s">
        <v>114</v>
      </c>
      <c r="B86" s="12"/>
      <c r="C86" s="12"/>
      <c r="D86" s="12"/>
      <c r="E86" s="12"/>
      <c r="F86" s="12"/>
      <c r="G86" s="12"/>
      <c r="H86" s="12"/>
      <c r="I86" s="12"/>
      <c r="J86" s="12"/>
      <c r="K86" s="12"/>
      <c r="L86" s="12"/>
      <c r="M86" s="12"/>
      <c r="N86" s="12"/>
      <c r="O86" s="12"/>
      <c r="P86" s="12"/>
      <c r="Q86" s="12"/>
      <c r="R86" s="12"/>
      <c r="S86" s="12"/>
    </row>
    <row r="87" spans="1:19" ht="12.75">
      <c r="A87" s="4" t="s">
        <v>21</v>
      </c>
      <c r="B87" s="12"/>
      <c r="C87" s="12"/>
      <c r="D87" s="12"/>
      <c r="E87" s="12"/>
      <c r="F87" s="12"/>
      <c r="G87" s="12"/>
      <c r="H87" s="12"/>
      <c r="I87" s="12"/>
      <c r="J87" s="12"/>
      <c r="K87" s="12"/>
      <c r="L87" s="12"/>
      <c r="M87" s="12"/>
      <c r="N87" s="12"/>
      <c r="O87" s="12"/>
      <c r="P87" s="12"/>
      <c r="Q87" s="12"/>
      <c r="R87" s="12"/>
      <c r="S87" s="12"/>
    </row>
    <row r="88" spans="2:19" ht="12.75">
      <c r="B88" s="12"/>
      <c r="C88" s="12"/>
      <c r="D88" s="12"/>
      <c r="E88" s="12"/>
      <c r="F88" s="12"/>
      <c r="G88" s="12"/>
      <c r="H88" s="12"/>
      <c r="I88" s="12"/>
      <c r="J88" s="12"/>
      <c r="K88" s="12"/>
      <c r="L88" s="12"/>
      <c r="M88" s="12"/>
      <c r="N88" s="12"/>
      <c r="O88" s="12"/>
      <c r="P88" s="12"/>
      <c r="Q88" s="12"/>
      <c r="R88" s="12"/>
      <c r="S88" s="12"/>
    </row>
    <row r="89" spans="2:19" ht="12.75">
      <c r="B89" s="12"/>
      <c r="C89" s="12"/>
      <c r="D89" s="12"/>
      <c r="E89" s="12"/>
      <c r="F89" s="12"/>
      <c r="G89" s="12"/>
      <c r="H89" s="12"/>
      <c r="I89" s="12"/>
      <c r="J89" s="12"/>
      <c r="K89" s="12"/>
      <c r="L89" s="12"/>
      <c r="M89" s="12"/>
      <c r="N89" s="12"/>
      <c r="O89" s="12"/>
      <c r="P89" s="12"/>
      <c r="Q89" s="12"/>
      <c r="R89" s="12"/>
      <c r="S89" s="12"/>
    </row>
    <row r="90" spans="2:19" ht="12.75">
      <c r="B90" s="12"/>
      <c r="C90" s="12"/>
      <c r="D90" s="12"/>
      <c r="E90" s="12"/>
      <c r="F90" s="12"/>
      <c r="G90" s="12"/>
      <c r="H90" s="12"/>
      <c r="I90" s="12"/>
      <c r="J90" s="12"/>
      <c r="K90" s="12"/>
      <c r="L90" s="12"/>
      <c r="M90" s="12"/>
      <c r="N90" s="12"/>
      <c r="O90" s="12"/>
      <c r="P90" s="12"/>
      <c r="Q90" s="12"/>
      <c r="R90" s="12"/>
      <c r="S90" s="12"/>
    </row>
    <row r="91" spans="2:19" ht="12.75">
      <c r="B91" s="12"/>
      <c r="C91" s="12"/>
      <c r="D91" s="12"/>
      <c r="E91" s="12"/>
      <c r="F91" s="12"/>
      <c r="G91" s="12"/>
      <c r="H91" s="12"/>
      <c r="I91" s="12"/>
      <c r="J91" s="12"/>
      <c r="K91" s="12"/>
      <c r="L91" s="12"/>
      <c r="M91" s="12"/>
      <c r="N91" s="12"/>
      <c r="O91" s="12"/>
      <c r="P91" s="12"/>
      <c r="Q91" s="12"/>
      <c r="R91" s="12"/>
      <c r="S91" s="12"/>
    </row>
    <row r="92" spans="2:19" ht="12.75">
      <c r="B92" s="12"/>
      <c r="C92" s="12"/>
      <c r="D92" s="12"/>
      <c r="E92" s="12"/>
      <c r="F92" s="12"/>
      <c r="G92" s="12"/>
      <c r="H92" s="12"/>
      <c r="I92" s="12"/>
      <c r="J92" s="12"/>
      <c r="K92" s="12"/>
      <c r="L92" s="12"/>
      <c r="M92" s="12"/>
      <c r="N92" s="12"/>
      <c r="O92" s="12"/>
      <c r="P92" s="12"/>
      <c r="Q92" s="12"/>
      <c r="R92" s="12"/>
      <c r="S92" s="12"/>
    </row>
    <row r="93" spans="2:19" ht="12.75">
      <c r="B93" s="12"/>
      <c r="C93" s="12"/>
      <c r="D93" s="12"/>
      <c r="E93" s="12"/>
      <c r="F93" s="12"/>
      <c r="G93" s="12"/>
      <c r="H93" s="12"/>
      <c r="I93" s="12"/>
      <c r="J93" s="12"/>
      <c r="K93" s="12"/>
      <c r="L93" s="12"/>
      <c r="M93" s="12"/>
      <c r="N93" s="12"/>
      <c r="O93" s="12"/>
      <c r="P93" s="12"/>
      <c r="Q93" s="12"/>
      <c r="R93" s="12"/>
      <c r="S93" s="12"/>
    </row>
    <row r="94" spans="2:19" ht="12.75">
      <c r="B94" s="12"/>
      <c r="C94" s="12"/>
      <c r="D94" s="12"/>
      <c r="E94" s="12"/>
      <c r="F94" s="12"/>
      <c r="G94" s="12"/>
      <c r="H94" s="12"/>
      <c r="I94" s="12"/>
      <c r="J94" s="12"/>
      <c r="K94" s="12"/>
      <c r="L94" s="12"/>
      <c r="M94" s="12"/>
      <c r="N94" s="12"/>
      <c r="O94" s="12"/>
      <c r="P94" s="12"/>
      <c r="Q94" s="12"/>
      <c r="R94" s="12"/>
      <c r="S94" s="12"/>
    </row>
    <row r="95" spans="2:19" ht="12.75">
      <c r="B95" s="12"/>
      <c r="C95" s="12"/>
      <c r="D95" s="12"/>
      <c r="E95" s="12"/>
      <c r="F95" s="12"/>
      <c r="G95" s="12"/>
      <c r="H95" s="12"/>
      <c r="I95" s="12"/>
      <c r="J95" s="12"/>
      <c r="K95" s="12"/>
      <c r="L95" s="12"/>
      <c r="M95" s="12"/>
      <c r="N95" s="12"/>
      <c r="O95" s="12"/>
      <c r="P95" s="12"/>
      <c r="Q95" s="12"/>
      <c r="R95" s="12"/>
      <c r="S95" s="12"/>
    </row>
    <row r="96" spans="2:19" ht="12.75">
      <c r="B96" s="12"/>
      <c r="C96" s="12"/>
      <c r="D96" s="12"/>
      <c r="E96" s="12"/>
      <c r="F96" s="12"/>
      <c r="G96" s="12"/>
      <c r="H96" s="12"/>
      <c r="I96" s="12"/>
      <c r="J96" s="12"/>
      <c r="K96" s="12"/>
      <c r="L96" s="12"/>
      <c r="M96" s="12"/>
      <c r="N96" s="12"/>
      <c r="O96" s="12"/>
      <c r="P96" s="12"/>
      <c r="Q96" s="12"/>
      <c r="R96" s="12"/>
      <c r="S96" s="12"/>
    </row>
    <row r="97" spans="2:19" ht="12.75">
      <c r="B97" s="12"/>
      <c r="C97" s="12"/>
      <c r="D97" s="12"/>
      <c r="E97" s="12"/>
      <c r="F97" s="12"/>
      <c r="G97" s="12"/>
      <c r="H97" s="12"/>
      <c r="I97" s="12"/>
      <c r="J97" s="12"/>
      <c r="K97" s="12"/>
      <c r="L97" s="12"/>
      <c r="M97" s="12"/>
      <c r="N97" s="12"/>
      <c r="O97" s="12"/>
      <c r="P97" s="12"/>
      <c r="Q97" s="12"/>
      <c r="R97" s="12"/>
      <c r="S97" s="12"/>
    </row>
    <row r="98" spans="2:19" ht="12.75">
      <c r="B98" s="12"/>
      <c r="C98" s="12"/>
      <c r="D98" s="12"/>
      <c r="E98" s="12"/>
      <c r="F98" s="12"/>
      <c r="G98" s="12"/>
      <c r="H98" s="12"/>
      <c r="I98" s="12"/>
      <c r="J98" s="12"/>
      <c r="K98" s="12"/>
      <c r="L98" s="12"/>
      <c r="M98" s="12"/>
      <c r="N98" s="12"/>
      <c r="O98" s="12"/>
      <c r="P98" s="12"/>
      <c r="Q98" s="12"/>
      <c r="R98" s="12"/>
      <c r="S98" s="12"/>
    </row>
    <row r="99" spans="2:19" ht="12.75">
      <c r="B99" s="12"/>
      <c r="C99" s="12"/>
      <c r="D99" s="12"/>
      <c r="E99" s="12"/>
      <c r="F99" s="12"/>
      <c r="G99" s="12"/>
      <c r="H99" s="12"/>
      <c r="I99" s="12"/>
      <c r="J99" s="12"/>
      <c r="K99" s="12"/>
      <c r="L99" s="12"/>
      <c r="M99" s="12"/>
      <c r="N99" s="12"/>
      <c r="O99" s="12"/>
      <c r="P99" s="12"/>
      <c r="Q99" s="12"/>
      <c r="R99" s="12"/>
      <c r="S99" s="12"/>
    </row>
    <row r="100" spans="2:19" ht="12.75">
      <c r="B100" s="12"/>
      <c r="C100" s="12"/>
      <c r="D100" s="12"/>
      <c r="E100" s="12"/>
      <c r="F100" s="12"/>
      <c r="G100" s="12"/>
      <c r="H100" s="12"/>
      <c r="I100" s="12"/>
      <c r="J100" s="12"/>
      <c r="K100" s="12"/>
      <c r="L100" s="12"/>
      <c r="M100" s="12"/>
      <c r="N100" s="12"/>
      <c r="O100" s="12"/>
      <c r="P100" s="12"/>
      <c r="Q100" s="12"/>
      <c r="R100" s="12"/>
      <c r="S100" s="12"/>
    </row>
    <row r="101" spans="2:19" ht="12.75">
      <c r="B101" s="12"/>
      <c r="C101" s="12"/>
      <c r="D101" s="12"/>
      <c r="E101" s="12"/>
      <c r="F101" s="12"/>
      <c r="G101" s="12"/>
      <c r="H101" s="12"/>
      <c r="I101" s="12"/>
      <c r="J101" s="12"/>
      <c r="K101" s="12"/>
      <c r="L101" s="12"/>
      <c r="M101" s="12"/>
      <c r="N101" s="12"/>
      <c r="O101" s="12"/>
      <c r="P101" s="12"/>
      <c r="Q101" s="12"/>
      <c r="R101" s="12"/>
      <c r="S101" s="12"/>
    </row>
    <row r="102" spans="2:19" ht="12.75">
      <c r="B102" s="12"/>
      <c r="C102" s="12"/>
      <c r="D102" s="12"/>
      <c r="E102" s="12"/>
      <c r="F102" s="12"/>
      <c r="G102" s="12"/>
      <c r="H102" s="12"/>
      <c r="I102" s="12"/>
      <c r="J102" s="12"/>
      <c r="K102" s="12"/>
      <c r="L102" s="12"/>
      <c r="M102" s="12"/>
      <c r="N102" s="12"/>
      <c r="O102" s="12"/>
      <c r="P102" s="12"/>
      <c r="Q102" s="12"/>
      <c r="R102" s="12"/>
      <c r="S102" s="12"/>
    </row>
    <row r="103" spans="2:19" ht="12.75">
      <c r="B103" s="12"/>
      <c r="C103" s="12"/>
      <c r="D103" s="12"/>
      <c r="E103" s="12"/>
      <c r="F103" s="12"/>
      <c r="G103" s="12"/>
      <c r="H103" s="12"/>
      <c r="I103" s="12"/>
      <c r="J103" s="12"/>
      <c r="K103" s="12"/>
      <c r="L103" s="12"/>
      <c r="M103" s="12"/>
      <c r="N103" s="12"/>
      <c r="O103" s="12"/>
      <c r="P103" s="12"/>
      <c r="Q103" s="12"/>
      <c r="R103" s="12"/>
      <c r="S103" s="12"/>
    </row>
    <row r="104" spans="2:19" ht="12.75">
      <c r="B104" s="12"/>
      <c r="C104" s="12"/>
      <c r="D104" s="12"/>
      <c r="E104" s="12"/>
      <c r="F104" s="12"/>
      <c r="G104" s="12"/>
      <c r="H104" s="12"/>
      <c r="I104" s="12"/>
      <c r="J104" s="12"/>
      <c r="K104" s="12"/>
      <c r="L104" s="12"/>
      <c r="M104" s="12"/>
      <c r="N104" s="12"/>
      <c r="O104" s="12"/>
      <c r="P104" s="12"/>
      <c r="Q104" s="12"/>
      <c r="R104" s="12"/>
      <c r="S104" s="12"/>
    </row>
    <row r="105" spans="2:19" ht="12.75">
      <c r="B105" s="12"/>
      <c r="C105" s="12"/>
      <c r="D105" s="12"/>
      <c r="E105" s="12"/>
      <c r="F105" s="12"/>
      <c r="G105" s="12"/>
      <c r="H105" s="12"/>
      <c r="I105" s="12"/>
      <c r="J105" s="12"/>
      <c r="K105" s="12"/>
      <c r="L105" s="12"/>
      <c r="M105" s="12"/>
      <c r="N105" s="12"/>
      <c r="O105" s="12"/>
      <c r="P105" s="12"/>
      <c r="Q105" s="12"/>
      <c r="R105" s="12"/>
      <c r="S105" s="12"/>
    </row>
    <row r="106" spans="2:19" ht="12.75">
      <c r="B106" s="12"/>
      <c r="C106" s="12"/>
      <c r="D106" s="12"/>
      <c r="E106" s="12"/>
      <c r="F106" s="12"/>
      <c r="G106" s="12"/>
      <c r="H106" s="12"/>
      <c r="I106" s="12"/>
      <c r="J106" s="12"/>
      <c r="K106" s="12"/>
      <c r="L106" s="12"/>
      <c r="M106" s="12"/>
      <c r="N106" s="12"/>
      <c r="O106" s="12"/>
      <c r="P106" s="12"/>
      <c r="Q106" s="12"/>
      <c r="R106" s="12"/>
      <c r="S106" s="12"/>
    </row>
    <row r="107" spans="2:19" ht="12.75">
      <c r="B107" s="12"/>
      <c r="C107" s="12"/>
      <c r="D107" s="12"/>
      <c r="E107" s="12"/>
      <c r="F107" s="12"/>
      <c r="G107" s="12"/>
      <c r="H107" s="12"/>
      <c r="I107" s="12"/>
      <c r="J107" s="12"/>
      <c r="K107" s="12"/>
      <c r="L107" s="12"/>
      <c r="M107" s="12"/>
      <c r="N107" s="12"/>
      <c r="O107" s="12"/>
      <c r="P107" s="12"/>
      <c r="Q107" s="12"/>
      <c r="R107" s="12"/>
      <c r="S107" s="12"/>
    </row>
    <row r="108" spans="2:19" ht="12.75">
      <c r="B108" s="12"/>
      <c r="C108" s="12"/>
      <c r="D108" s="12"/>
      <c r="E108" s="12"/>
      <c r="F108" s="12"/>
      <c r="G108" s="12"/>
      <c r="H108" s="12"/>
      <c r="I108" s="12"/>
      <c r="J108" s="12"/>
      <c r="K108" s="12"/>
      <c r="L108" s="12"/>
      <c r="M108" s="12"/>
      <c r="N108" s="12"/>
      <c r="O108" s="12"/>
      <c r="P108" s="12"/>
      <c r="Q108" s="12"/>
      <c r="R108" s="12"/>
      <c r="S108" s="12"/>
    </row>
    <row r="109" spans="2:19" ht="12.75">
      <c r="B109" s="12"/>
      <c r="C109" s="12"/>
      <c r="D109" s="12"/>
      <c r="E109" s="12"/>
      <c r="F109" s="12"/>
      <c r="G109" s="12"/>
      <c r="H109" s="12"/>
      <c r="I109" s="12"/>
      <c r="J109" s="12"/>
      <c r="K109" s="12"/>
      <c r="L109" s="12"/>
      <c r="M109" s="12"/>
      <c r="N109" s="12"/>
      <c r="O109" s="12"/>
      <c r="P109" s="12"/>
      <c r="Q109" s="12"/>
      <c r="R109" s="12"/>
      <c r="S109" s="12"/>
    </row>
    <row r="110" spans="2:19" ht="12.75">
      <c r="B110" s="12"/>
      <c r="C110" s="12"/>
      <c r="D110" s="12"/>
      <c r="E110" s="12"/>
      <c r="F110" s="12"/>
      <c r="G110" s="12"/>
      <c r="H110" s="12"/>
      <c r="I110" s="12"/>
      <c r="J110" s="12"/>
      <c r="K110" s="12"/>
      <c r="L110" s="12"/>
      <c r="M110" s="12"/>
      <c r="N110" s="12"/>
      <c r="O110" s="12"/>
      <c r="P110" s="12"/>
      <c r="Q110" s="12"/>
      <c r="R110" s="12"/>
      <c r="S110" s="12"/>
    </row>
    <row r="111" spans="2:19" ht="12.75">
      <c r="B111" s="12"/>
      <c r="C111" s="12"/>
      <c r="D111" s="12"/>
      <c r="E111" s="12"/>
      <c r="F111" s="12"/>
      <c r="G111" s="12"/>
      <c r="H111" s="12"/>
      <c r="I111" s="12"/>
      <c r="J111" s="12"/>
      <c r="K111" s="12"/>
      <c r="L111" s="12"/>
      <c r="M111" s="12"/>
      <c r="N111" s="12"/>
      <c r="O111" s="12"/>
      <c r="P111" s="12"/>
      <c r="Q111" s="12"/>
      <c r="R111" s="12"/>
      <c r="S111" s="12"/>
    </row>
    <row r="112" spans="2:19" ht="12.75">
      <c r="B112" s="12"/>
      <c r="C112" s="12"/>
      <c r="D112" s="12"/>
      <c r="E112" s="12"/>
      <c r="F112" s="12"/>
      <c r="G112" s="12"/>
      <c r="H112" s="12"/>
      <c r="I112" s="12"/>
      <c r="J112" s="12"/>
      <c r="K112" s="12"/>
      <c r="L112" s="12"/>
      <c r="M112" s="12"/>
      <c r="N112" s="12"/>
      <c r="O112" s="12"/>
      <c r="P112" s="12"/>
      <c r="Q112" s="12"/>
      <c r="R112" s="12"/>
      <c r="S112" s="12"/>
    </row>
    <row r="113" spans="2:19" ht="12.75">
      <c r="B113" s="12"/>
      <c r="C113" s="12"/>
      <c r="D113" s="12"/>
      <c r="E113" s="12"/>
      <c r="F113" s="12"/>
      <c r="G113" s="12"/>
      <c r="H113" s="12"/>
      <c r="I113" s="12"/>
      <c r="J113" s="12"/>
      <c r="K113" s="12"/>
      <c r="L113" s="12"/>
      <c r="M113" s="12"/>
      <c r="N113" s="12"/>
      <c r="O113" s="12"/>
      <c r="P113" s="12"/>
      <c r="Q113" s="12"/>
      <c r="R113" s="12"/>
      <c r="S113" s="12"/>
    </row>
    <row r="114" spans="2:19" ht="12.75">
      <c r="B114" s="12"/>
      <c r="C114" s="12"/>
      <c r="D114" s="12"/>
      <c r="E114" s="12"/>
      <c r="F114" s="12"/>
      <c r="G114" s="12"/>
      <c r="H114" s="12"/>
      <c r="I114" s="12"/>
      <c r="J114" s="12"/>
      <c r="K114" s="12"/>
      <c r="L114" s="12"/>
      <c r="M114" s="12"/>
      <c r="N114" s="12"/>
      <c r="O114" s="12"/>
      <c r="P114" s="12"/>
      <c r="Q114" s="12"/>
      <c r="R114" s="12"/>
      <c r="S114" s="12"/>
    </row>
    <row r="115" spans="2:19" ht="12.75">
      <c r="B115" s="12"/>
      <c r="C115" s="12"/>
      <c r="D115" s="12"/>
      <c r="E115" s="12"/>
      <c r="F115" s="12"/>
      <c r="G115" s="12"/>
      <c r="H115" s="12"/>
      <c r="I115" s="12"/>
      <c r="J115" s="12"/>
      <c r="K115" s="12"/>
      <c r="L115" s="12"/>
      <c r="M115" s="12"/>
      <c r="N115" s="12"/>
      <c r="O115" s="12"/>
      <c r="P115" s="12"/>
      <c r="Q115" s="12"/>
      <c r="R115" s="12"/>
      <c r="S115" s="12"/>
    </row>
    <row r="116" spans="2:19" ht="12.75">
      <c r="B116" s="12"/>
      <c r="C116" s="12"/>
      <c r="D116" s="12"/>
      <c r="E116" s="12"/>
      <c r="F116" s="12"/>
      <c r="G116" s="12"/>
      <c r="H116" s="12"/>
      <c r="I116" s="12"/>
      <c r="J116" s="12"/>
      <c r="K116" s="12"/>
      <c r="L116" s="12"/>
      <c r="M116" s="12"/>
      <c r="N116" s="12"/>
      <c r="O116" s="12"/>
      <c r="P116" s="12"/>
      <c r="Q116" s="12"/>
      <c r="R116" s="12"/>
      <c r="S116" s="12"/>
    </row>
    <row r="117" spans="2:19" ht="12.75">
      <c r="B117" s="12"/>
      <c r="C117" s="12"/>
      <c r="D117" s="12"/>
      <c r="E117" s="12"/>
      <c r="F117" s="12"/>
      <c r="G117" s="12"/>
      <c r="H117" s="12"/>
      <c r="I117" s="12"/>
      <c r="J117" s="12"/>
      <c r="K117" s="12"/>
      <c r="L117" s="12"/>
      <c r="M117" s="12"/>
      <c r="N117" s="12"/>
      <c r="O117" s="12"/>
      <c r="P117" s="12"/>
      <c r="Q117" s="12"/>
      <c r="R117" s="12"/>
      <c r="S117" s="12"/>
    </row>
  </sheetData>
  <printOptions horizontalCentered="1"/>
  <pageMargins left="0.1968503937007874" right="0.1968503937007874" top="0.5905511811023623" bottom="0.7874015748031497" header="0.5118110236220472" footer="0.5118110236220472"/>
  <pageSetup fitToHeight="2" horizontalDpi="300" verticalDpi="300" orientation="landscape" paperSize="9" scale="75" r:id="rId1"/>
  <headerFooter alignWithMargins="0">
    <oddFooter>&amp;R&amp;A</oddFooter>
  </headerFooter>
</worksheet>
</file>

<file path=xl/worksheets/sheet13.xml><?xml version="1.0" encoding="utf-8"?>
<worksheet xmlns="http://schemas.openxmlformats.org/spreadsheetml/2006/main" xmlns:r="http://schemas.openxmlformats.org/officeDocument/2006/relationships">
  <sheetPr codeName="Blad12"/>
  <dimension ref="A1:S103"/>
  <sheetViews>
    <sheetView workbookViewId="0" topLeftCell="A1">
      <selection activeCell="G58" sqref="G58"/>
    </sheetView>
  </sheetViews>
  <sheetFormatPr defaultColWidth="9.140625" defaultRowHeight="12.75"/>
  <cols>
    <col min="1" max="1" width="27.421875" style="4" customWidth="1"/>
    <col min="2" max="19" width="8.140625" style="4" customWidth="1"/>
    <col min="20" max="16384" width="9.140625" style="4" customWidth="1"/>
  </cols>
  <sheetData>
    <row r="1" spans="1:19" ht="12.75">
      <c r="A1" s="133" t="s">
        <v>81</v>
      </c>
      <c r="B1" s="2"/>
      <c r="C1" s="2"/>
      <c r="D1" s="2"/>
      <c r="E1" s="3"/>
      <c r="F1" s="2"/>
      <c r="G1" s="2"/>
      <c r="H1" s="2"/>
      <c r="I1" s="2"/>
      <c r="J1" s="2"/>
      <c r="K1" s="2"/>
      <c r="L1" s="2"/>
      <c r="M1" s="2"/>
      <c r="N1" s="2"/>
      <c r="O1" s="2"/>
      <c r="P1" s="2"/>
      <c r="Q1" s="2"/>
      <c r="R1" s="2"/>
      <c r="S1" s="2"/>
    </row>
    <row r="2" spans="1:19" ht="12.75">
      <c r="A2" s="5" t="s">
        <v>60</v>
      </c>
      <c r="B2" s="6"/>
      <c r="C2" s="6"/>
      <c r="D2" s="5"/>
      <c r="E2" s="131"/>
      <c r="F2" s="6"/>
      <c r="G2" s="7"/>
      <c r="H2" s="6"/>
      <c r="I2" s="7"/>
      <c r="J2" s="6"/>
      <c r="K2" s="6"/>
      <c r="L2" s="6"/>
      <c r="M2" s="6"/>
      <c r="N2" s="6"/>
      <c r="O2" s="6"/>
      <c r="P2" s="6"/>
      <c r="Q2" s="6"/>
      <c r="R2" s="6"/>
      <c r="S2" s="6"/>
    </row>
    <row r="3" spans="1:19" ht="12.75">
      <c r="A3" s="5"/>
      <c r="B3" s="6"/>
      <c r="C3" s="6"/>
      <c r="D3" s="6"/>
      <c r="E3" s="131"/>
      <c r="F3" s="5"/>
      <c r="G3" s="7"/>
      <c r="H3" s="6"/>
      <c r="I3" s="7"/>
      <c r="J3" s="6"/>
      <c r="K3" s="6"/>
      <c r="L3" s="6"/>
      <c r="M3" s="6"/>
      <c r="N3" s="6"/>
      <c r="O3" s="6"/>
      <c r="P3" s="6"/>
      <c r="Q3" s="6"/>
      <c r="R3" s="6"/>
      <c r="S3" s="6"/>
    </row>
    <row r="4" spans="1:19" ht="12.75">
      <c r="A4" s="5" t="s">
        <v>59</v>
      </c>
      <c r="B4" s="6"/>
      <c r="C4" s="6"/>
      <c r="D4" s="6"/>
      <c r="E4" s="131"/>
      <c r="F4" s="5"/>
      <c r="G4" s="7"/>
      <c r="H4" s="6"/>
      <c r="I4" s="7"/>
      <c r="J4" s="6"/>
      <c r="K4" s="6"/>
      <c r="L4" s="6"/>
      <c r="M4" s="6"/>
      <c r="N4" s="6"/>
      <c r="O4" s="6"/>
      <c r="P4" s="6"/>
      <c r="Q4" s="6"/>
      <c r="R4" s="6"/>
      <c r="S4" s="6"/>
    </row>
    <row r="5" spans="1:19" ht="9" customHeight="1" thickBot="1">
      <c r="A5" s="2"/>
      <c r="B5" s="2"/>
      <c r="C5" s="2"/>
      <c r="D5" s="2"/>
      <c r="E5" s="3"/>
      <c r="F5" s="2"/>
      <c r="G5" s="2"/>
      <c r="H5" s="2"/>
      <c r="I5" s="2"/>
      <c r="J5" s="2"/>
      <c r="K5" s="2"/>
      <c r="L5" s="2"/>
      <c r="M5" s="2"/>
      <c r="N5" s="2"/>
      <c r="O5" s="2"/>
      <c r="P5" s="2"/>
      <c r="Q5" s="2"/>
      <c r="R5" s="2"/>
      <c r="S5" s="2"/>
    </row>
    <row r="6" spans="1:19" ht="12.75">
      <c r="A6" s="8"/>
      <c r="B6" s="157" t="s">
        <v>36</v>
      </c>
      <c r="C6" s="158"/>
      <c r="D6" s="158"/>
      <c r="E6" s="158"/>
      <c r="F6" s="158"/>
      <c r="G6" s="158"/>
      <c r="H6" s="157" t="s">
        <v>37</v>
      </c>
      <c r="I6" s="158"/>
      <c r="J6" s="158"/>
      <c r="K6" s="158"/>
      <c r="L6" s="158"/>
      <c r="M6" s="158"/>
      <c r="N6" s="157" t="s">
        <v>4</v>
      </c>
      <c r="O6" s="158"/>
      <c r="P6" s="158"/>
      <c r="Q6" s="158"/>
      <c r="R6" s="158"/>
      <c r="S6" s="158"/>
    </row>
    <row r="7" spans="1:19" ht="12.75">
      <c r="A7" s="3"/>
      <c r="B7" s="159" t="s">
        <v>24</v>
      </c>
      <c r="C7" s="160"/>
      <c r="D7" s="160"/>
      <c r="E7" s="159" t="s">
        <v>25</v>
      </c>
      <c r="F7" s="160"/>
      <c r="G7" s="160"/>
      <c r="H7" s="159" t="s">
        <v>24</v>
      </c>
      <c r="I7" s="160"/>
      <c r="J7" s="160"/>
      <c r="K7" s="159" t="s">
        <v>25</v>
      </c>
      <c r="L7" s="160"/>
      <c r="M7" s="160"/>
      <c r="N7" s="159" t="s">
        <v>24</v>
      </c>
      <c r="O7" s="160"/>
      <c r="P7" s="160"/>
      <c r="Q7" s="159" t="s">
        <v>25</v>
      </c>
      <c r="R7" s="160"/>
      <c r="S7" s="160"/>
    </row>
    <row r="8" spans="1:19" s="161" customFormat="1" ht="12.75">
      <c r="A8" s="66"/>
      <c r="B8" s="187" t="s">
        <v>5</v>
      </c>
      <c r="C8" s="188" t="s">
        <v>6</v>
      </c>
      <c r="D8" s="188" t="s">
        <v>4</v>
      </c>
      <c r="E8" s="187" t="s">
        <v>5</v>
      </c>
      <c r="F8" s="188" t="s">
        <v>6</v>
      </c>
      <c r="G8" s="188" t="s">
        <v>4</v>
      </c>
      <c r="H8" s="187" t="s">
        <v>5</v>
      </c>
      <c r="I8" s="188" t="s">
        <v>6</v>
      </c>
      <c r="J8" s="188" t="s">
        <v>4</v>
      </c>
      <c r="K8" s="187" t="s">
        <v>5</v>
      </c>
      <c r="L8" s="188" t="s">
        <v>6</v>
      </c>
      <c r="M8" s="188" t="s">
        <v>4</v>
      </c>
      <c r="N8" s="187" t="s">
        <v>5</v>
      </c>
      <c r="O8" s="188" t="s">
        <v>6</v>
      </c>
      <c r="P8" s="188" t="s">
        <v>4</v>
      </c>
      <c r="Q8" s="187" t="s">
        <v>5</v>
      </c>
      <c r="R8" s="188" t="s">
        <v>6</v>
      </c>
      <c r="S8" s="188" t="s">
        <v>4</v>
      </c>
    </row>
    <row r="9" spans="1:19" ht="6" customHeight="1">
      <c r="A9" s="2"/>
      <c r="B9" s="11"/>
      <c r="C9" s="12"/>
      <c r="D9" s="12"/>
      <c r="E9" s="11"/>
      <c r="F9" s="12"/>
      <c r="G9" s="12"/>
      <c r="H9" s="11"/>
      <c r="I9" s="12"/>
      <c r="J9" s="12"/>
      <c r="K9" s="11"/>
      <c r="L9" s="12"/>
      <c r="M9" s="12"/>
      <c r="N9" s="11"/>
      <c r="O9" s="12"/>
      <c r="P9" s="12"/>
      <c r="Q9" s="11"/>
      <c r="R9" s="12"/>
      <c r="S9" s="12"/>
    </row>
    <row r="10" spans="1:19" ht="12.75">
      <c r="A10" s="1" t="s">
        <v>7</v>
      </c>
      <c r="B10" s="11"/>
      <c r="C10" s="12"/>
      <c r="D10" s="12"/>
      <c r="E10" s="11"/>
      <c r="F10" s="12"/>
      <c r="G10" s="12"/>
      <c r="H10" s="11"/>
      <c r="I10" s="12"/>
      <c r="J10" s="12"/>
      <c r="K10" s="11"/>
      <c r="L10" s="12"/>
      <c r="M10" s="12"/>
      <c r="N10" s="11"/>
      <c r="O10" s="12"/>
      <c r="P10" s="12"/>
      <c r="Q10" s="11"/>
      <c r="R10" s="12"/>
      <c r="S10" s="12"/>
    </row>
    <row r="11" spans="1:19" s="99" customFormat="1" ht="12.75">
      <c r="A11" s="97" t="s">
        <v>39</v>
      </c>
      <c r="B11" s="111">
        <f>137+4</f>
        <v>141</v>
      </c>
      <c r="C11" s="112">
        <f>164+4</f>
        <v>168</v>
      </c>
      <c r="D11" s="112">
        <f>SUM(B11:C11)</f>
        <v>309</v>
      </c>
      <c r="E11" s="111">
        <f>7+1</f>
        <v>8</v>
      </c>
      <c r="F11" s="112">
        <f>37+66</f>
        <v>103</v>
      </c>
      <c r="G11" s="112">
        <f>SUM(E11:F11)</f>
        <v>111</v>
      </c>
      <c r="H11" s="111">
        <f>31+0</f>
        <v>31</v>
      </c>
      <c r="I11" s="112">
        <f>508+9</f>
        <v>517</v>
      </c>
      <c r="J11" s="112">
        <f>SUM(H11:I11)</f>
        <v>548</v>
      </c>
      <c r="K11" s="113">
        <f>16+1</f>
        <v>17</v>
      </c>
      <c r="L11" s="112">
        <f>141+162</f>
        <v>303</v>
      </c>
      <c r="M11" s="112">
        <f>SUM(K11:L11)</f>
        <v>320</v>
      </c>
      <c r="N11" s="111">
        <f aca="true" t="shared" si="0" ref="N11:S13">SUM(B11,H11)</f>
        <v>172</v>
      </c>
      <c r="O11" s="112">
        <f t="shared" si="0"/>
        <v>685</v>
      </c>
      <c r="P11" s="112">
        <f t="shared" si="0"/>
        <v>857</v>
      </c>
      <c r="Q11" s="111">
        <f t="shared" si="0"/>
        <v>25</v>
      </c>
      <c r="R11" s="112">
        <f t="shared" si="0"/>
        <v>406</v>
      </c>
      <c r="S11" s="112">
        <f t="shared" si="0"/>
        <v>431</v>
      </c>
    </row>
    <row r="12" spans="1:19" s="99" customFormat="1" ht="12.75">
      <c r="A12" s="97" t="s">
        <v>48</v>
      </c>
      <c r="B12" s="111">
        <v>142</v>
      </c>
      <c r="C12" s="112">
        <v>478</v>
      </c>
      <c r="D12" s="112">
        <f>SUM(B12:C12)</f>
        <v>620</v>
      </c>
      <c r="E12" s="111">
        <v>49</v>
      </c>
      <c r="F12" s="112">
        <v>280</v>
      </c>
      <c r="G12" s="112">
        <f>SUM(E12:F12)</f>
        <v>329</v>
      </c>
      <c r="H12" s="111">
        <v>50</v>
      </c>
      <c r="I12" s="112">
        <v>1391</v>
      </c>
      <c r="J12" s="112">
        <f>SUM(H12:I12)</f>
        <v>1441</v>
      </c>
      <c r="K12" s="113">
        <v>263</v>
      </c>
      <c r="L12" s="112">
        <v>2849</v>
      </c>
      <c r="M12" s="112">
        <f>SUM(K12:L12)</f>
        <v>3112</v>
      </c>
      <c r="N12" s="111">
        <f t="shared" si="0"/>
        <v>192</v>
      </c>
      <c r="O12" s="112">
        <f t="shared" si="0"/>
        <v>1869</v>
      </c>
      <c r="P12" s="112">
        <f t="shared" si="0"/>
        <v>2061</v>
      </c>
      <c r="Q12" s="111">
        <f t="shared" si="0"/>
        <v>312</v>
      </c>
      <c r="R12" s="112">
        <f t="shared" si="0"/>
        <v>3129</v>
      </c>
      <c r="S12" s="112">
        <f t="shared" si="0"/>
        <v>3441</v>
      </c>
    </row>
    <row r="13" spans="1:19" s="99" customFormat="1" ht="12" customHeight="1">
      <c r="A13" s="97" t="s">
        <v>56</v>
      </c>
      <c r="B13" s="111">
        <v>111</v>
      </c>
      <c r="C13" s="112">
        <v>422</v>
      </c>
      <c r="D13" s="112">
        <f>SUM(B13:C13)</f>
        <v>533</v>
      </c>
      <c r="E13" s="111">
        <v>71</v>
      </c>
      <c r="F13" s="112">
        <v>169</v>
      </c>
      <c r="G13" s="112">
        <f>SUM(E13:F13)</f>
        <v>240</v>
      </c>
      <c r="H13" s="111">
        <v>140</v>
      </c>
      <c r="I13" s="112">
        <v>2495</v>
      </c>
      <c r="J13" s="112">
        <f>SUM(H13:I13)</f>
        <v>2635</v>
      </c>
      <c r="K13" s="113">
        <v>276</v>
      </c>
      <c r="L13" s="112">
        <v>1695</v>
      </c>
      <c r="M13" s="112">
        <f>SUM(K13:L13)</f>
        <v>1971</v>
      </c>
      <c r="N13" s="111">
        <f t="shared" si="0"/>
        <v>251</v>
      </c>
      <c r="O13" s="112">
        <f t="shared" si="0"/>
        <v>2917</v>
      </c>
      <c r="P13" s="112">
        <f t="shared" si="0"/>
        <v>3168</v>
      </c>
      <c r="Q13" s="111">
        <f t="shared" si="0"/>
        <v>347</v>
      </c>
      <c r="R13" s="112">
        <f t="shared" si="0"/>
        <v>1864</v>
      </c>
      <c r="S13" s="112">
        <f t="shared" si="0"/>
        <v>2211</v>
      </c>
    </row>
    <row r="14" spans="1:19" s="99" customFormat="1" ht="12" customHeight="1">
      <c r="A14" s="97" t="s">
        <v>86</v>
      </c>
      <c r="B14" s="111">
        <v>93</v>
      </c>
      <c r="C14" s="112">
        <v>404</v>
      </c>
      <c r="D14" s="112">
        <f>SUM(B14:C14)</f>
        <v>497</v>
      </c>
      <c r="E14" s="111">
        <v>71</v>
      </c>
      <c r="F14" s="112">
        <v>176</v>
      </c>
      <c r="G14" s="112">
        <f>SUM(E14:F14)</f>
        <v>247</v>
      </c>
      <c r="H14" s="111">
        <v>228</v>
      </c>
      <c r="I14" s="112">
        <v>3079</v>
      </c>
      <c r="J14" s="112">
        <f>SUM(H14:I14)</f>
        <v>3307</v>
      </c>
      <c r="K14" s="113">
        <v>247</v>
      </c>
      <c r="L14" s="112">
        <v>1662</v>
      </c>
      <c r="M14" s="112">
        <f>SUM(K14:L14)</f>
        <v>1909</v>
      </c>
      <c r="N14" s="111">
        <f aca="true" t="shared" si="1" ref="N14:S14">SUM(B14,H14)</f>
        <v>321</v>
      </c>
      <c r="O14" s="112">
        <f t="shared" si="1"/>
        <v>3483</v>
      </c>
      <c r="P14" s="112">
        <f t="shared" si="1"/>
        <v>3804</v>
      </c>
      <c r="Q14" s="111">
        <f t="shared" si="1"/>
        <v>318</v>
      </c>
      <c r="R14" s="112">
        <f t="shared" si="1"/>
        <v>1838</v>
      </c>
      <c r="S14" s="112">
        <f t="shared" si="1"/>
        <v>2156</v>
      </c>
    </row>
    <row r="15" spans="1:19" ht="12.75">
      <c r="A15" s="3"/>
      <c r="B15" s="11"/>
      <c r="C15" s="12"/>
      <c r="D15" s="12"/>
      <c r="E15" s="11"/>
      <c r="F15" s="12"/>
      <c r="G15" s="12"/>
      <c r="H15" s="11"/>
      <c r="I15" s="12"/>
      <c r="J15" s="12"/>
      <c r="K15" s="11"/>
      <c r="L15" s="12"/>
      <c r="M15" s="12"/>
      <c r="N15" s="11"/>
      <c r="O15" s="12"/>
      <c r="P15" s="12"/>
      <c r="Q15" s="11"/>
      <c r="R15" s="12"/>
      <c r="S15" s="12"/>
    </row>
    <row r="16" spans="1:19" ht="12.75">
      <c r="A16" s="1" t="s">
        <v>11</v>
      </c>
      <c r="B16" s="11"/>
      <c r="C16" s="12"/>
      <c r="D16" s="12"/>
      <c r="E16" s="11"/>
      <c r="F16" s="12"/>
      <c r="G16" s="12"/>
      <c r="H16" s="11"/>
      <c r="I16" s="12"/>
      <c r="J16" s="12"/>
      <c r="K16" s="11"/>
      <c r="L16" s="12"/>
      <c r="M16" s="12"/>
      <c r="N16" s="11"/>
      <c r="O16" s="12"/>
      <c r="P16" s="12"/>
      <c r="Q16" s="11"/>
      <c r="R16" s="12"/>
      <c r="S16" s="12"/>
    </row>
    <row r="17" spans="1:19" s="99" customFormat="1" ht="12.75">
      <c r="A17" s="97" t="s">
        <v>39</v>
      </c>
      <c r="B17" s="111">
        <f>199+0</f>
        <v>199</v>
      </c>
      <c r="C17" s="112">
        <f>641+4</f>
        <v>645</v>
      </c>
      <c r="D17" s="112">
        <f>SUM(B17:C17)</f>
        <v>844</v>
      </c>
      <c r="E17" s="111">
        <f>35+0</f>
        <v>35</v>
      </c>
      <c r="F17" s="112">
        <f>190+4</f>
        <v>194</v>
      </c>
      <c r="G17" s="112">
        <f>SUM(E17:F17)</f>
        <v>229</v>
      </c>
      <c r="H17" s="111">
        <f>52+1</f>
        <v>53</v>
      </c>
      <c r="I17" s="112">
        <f>552+11</f>
        <v>563</v>
      </c>
      <c r="J17" s="112">
        <f>SUM(H17:I17)</f>
        <v>616</v>
      </c>
      <c r="K17" s="113">
        <f>38+1</f>
        <v>39</v>
      </c>
      <c r="L17" s="112">
        <f>470+4</f>
        <v>474</v>
      </c>
      <c r="M17" s="112">
        <f>SUM(K17:L17)</f>
        <v>513</v>
      </c>
      <c r="N17" s="111">
        <f aca="true" t="shared" si="2" ref="N17:S19">SUM(B17,H17)</f>
        <v>252</v>
      </c>
      <c r="O17" s="112">
        <f t="shared" si="2"/>
        <v>1208</v>
      </c>
      <c r="P17" s="112">
        <f t="shared" si="2"/>
        <v>1460</v>
      </c>
      <c r="Q17" s="111">
        <f t="shared" si="2"/>
        <v>74</v>
      </c>
      <c r="R17" s="112">
        <f t="shared" si="2"/>
        <v>668</v>
      </c>
      <c r="S17" s="112">
        <f t="shared" si="2"/>
        <v>742</v>
      </c>
    </row>
    <row r="18" spans="1:19" s="99" customFormat="1" ht="12.75">
      <c r="A18" s="97" t="s">
        <v>48</v>
      </c>
      <c r="B18" s="111">
        <v>204</v>
      </c>
      <c r="C18" s="112">
        <v>809</v>
      </c>
      <c r="D18" s="112">
        <f>SUM(B18:C18)</f>
        <v>1013</v>
      </c>
      <c r="E18" s="111">
        <v>61</v>
      </c>
      <c r="F18" s="112">
        <v>370</v>
      </c>
      <c r="G18" s="112">
        <f>SUM(E18:F18)</f>
        <v>431</v>
      </c>
      <c r="H18" s="111">
        <v>55</v>
      </c>
      <c r="I18" s="112">
        <v>712</v>
      </c>
      <c r="J18" s="112">
        <f>SUM(H18:I18)</f>
        <v>767</v>
      </c>
      <c r="K18" s="113">
        <v>59</v>
      </c>
      <c r="L18" s="112">
        <v>604</v>
      </c>
      <c r="M18" s="112">
        <f>SUM(K18:L18)</f>
        <v>663</v>
      </c>
      <c r="N18" s="111">
        <f t="shared" si="2"/>
        <v>259</v>
      </c>
      <c r="O18" s="112">
        <f t="shared" si="2"/>
        <v>1521</v>
      </c>
      <c r="P18" s="112">
        <f t="shared" si="2"/>
        <v>1780</v>
      </c>
      <c r="Q18" s="111">
        <f t="shared" si="2"/>
        <v>120</v>
      </c>
      <c r="R18" s="112">
        <f t="shared" si="2"/>
        <v>974</v>
      </c>
      <c r="S18" s="112">
        <f t="shared" si="2"/>
        <v>1094</v>
      </c>
    </row>
    <row r="19" spans="1:19" s="99" customFormat="1" ht="12.75">
      <c r="A19" s="97" t="s">
        <v>56</v>
      </c>
      <c r="B19" s="111">
        <v>221</v>
      </c>
      <c r="C19" s="112">
        <v>891</v>
      </c>
      <c r="D19" s="112">
        <f>SUM(B19:C19)</f>
        <v>1112</v>
      </c>
      <c r="E19" s="111">
        <v>73</v>
      </c>
      <c r="F19" s="112">
        <v>430</v>
      </c>
      <c r="G19" s="112">
        <f>SUM(E19:F19)</f>
        <v>503</v>
      </c>
      <c r="H19" s="111">
        <v>54</v>
      </c>
      <c r="I19" s="112">
        <v>836</v>
      </c>
      <c r="J19" s="112">
        <f>SUM(H19:I19)</f>
        <v>890</v>
      </c>
      <c r="K19" s="113">
        <v>57</v>
      </c>
      <c r="L19" s="112">
        <v>611</v>
      </c>
      <c r="M19" s="112">
        <f>SUM(K19:L19)</f>
        <v>668</v>
      </c>
      <c r="N19" s="111">
        <f t="shared" si="2"/>
        <v>275</v>
      </c>
      <c r="O19" s="112">
        <f t="shared" si="2"/>
        <v>1727</v>
      </c>
      <c r="P19" s="112">
        <f t="shared" si="2"/>
        <v>2002</v>
      </c>
      <c r="Q19" s="111">
        <f t="shared" si="2"/>
        <v>130</v>
      </c>
      <c r="R19" s="112">
        <f t="shared" si="2"/>
        <v>1041</v>
      </c>
      <c r="S19" s="112">
        <f t="shared" si="2"/>
        <v>1171</v>
      </c>
    </row>
    <row r="20" spans="1:19" s="99" customFormat="1" ht="12.75">
      <c r="A20" s="97" t="s">
        <v>86</v>
      </c>
      <c r="B20" s="111">
        <v>115</v>
      </c>
      <c r="C20" s="112">
        <v>665</v>
      </c>
      <c r="D20" s="112">
        <f>SUM(B20:C20)</f>
        <v>780</v>
      </c>
      <c r="E20" s="111">
        <v>19</v>
      </c>
      <c r="F20" s="112">
        <v>299</v>
      </c>
      <c r="G20" s="112">
        <f>SUM(E20:F20)</f>
        <v>318</v>
      </c>
      <c r="H20" s="111">
        <v>45</v>
      </c>
      <c r="I20" s="112">
        <v>802</v>
      </c>
      <c r="J20" s="112">
        <f>SUM(H20:I20)</f>
        <v>847</v>
      </c>
      <c r="K20" s="113">
        <v>46</v>
      </c>
      <c r="L20" s="112">
        <v>613</v>
      </c>
      <c r="M20" s="112">
        <f>SUM(K20:L20)</f>
        <v>659</v>
      </c>
      <c r="N20" s="111">
        <f aca="true" t="shared" si="3" ref="N20:S20">SUM(B20,H20)</f>
        <v>160</v>
      </c>
      <c r="O20" s="112">
        <f t="shared" si="3"/>
        <v>1467</v>
      </c>
      <c r="P20" s="112">
        <f t="shared" si="3"/>
        <v>1627</v>
      </c>
      <c r="Q20" s="111">
        <f t="shared" si="3"/>
        <v>65</v>
      </c>
      <c r="R20" s="112">
        <f t="shared" si="3"/>
        <v>912</v>
      </c>
      <c r="S20" s="112">
        <f t="shared" si="3"/>
        <v>977</v>
      </c>
    </row>
    <row r="21" spans="1:19" ht="12.75">
      <c r="A21" s="2"/>
      <c r="B21" s="11"/>
      <c r="C21" s="12"/>
      <c r="D21" s="12"/>
      <c r="E21" s="11"/>
      <c r="F21" s="12"/>
      <c r="G21" s="12"/>
      <c r="H21" s="11"/>
      <c r="I21" s="12"/>
      <c r="J21" s="12"/>
      <c r="K21" s="11"/>
      <c r="L21" s="12"/>
      <c r="M21" s="12"/>
      <c r="N21" s="11"/>
      <c r="O21" s="12"/>
      <c r="P21" s="12"/>
      <c r="Q21" s="11"/>
      <c r="R21" s="12"/>
      <c r="S21" s="12"/>
    </row>
    <row r="22" spans="1:19" ht="12.75">
      <c r="A22" s="1" t="s">
        <v>12</v>
      </c>
      <c r="B22" s="11"/>
      <c r="C22" s="12"/>
      <c r="D22" s="12"/>
      <c r="E22" s="11"/>
      <c r="F22" s="12"/>
      <c r="G22" s="12"/>
      <c r="H22" s="11"/>
      <c r="I22" s="12"/>
      <c r="J22" s="12"/>
      <c r="K22" s="11"/>
      <c r="L22" s="12"/>
      <c r="M22" s="12"/>
      <c r="N22" s="11"/>
      <c r="O22" s="12"/>
      <c r="P22" s="12"/>
      <c r="Q22" s="11"/>
      <c r="R22" s="12"/>
      <c r="S22" s="12"/>
    </row>
    <row r="23" spans="1:19" s="99" customFormat="1" ht="12.75">
      <c r="A23" s="97" t="s">
        <v>39</v>
      </c>
      <c r="B23" s="111">
        <v>1556</v>
      </c>
      <c r="C23" s="112">
        <v>2182</v>
      </c>
      <c r="D23" s="112">
        <f>SUM(B23:C23)</f>
        <v>3738</v>
      </c>
      <c r="E23" s="111">
        <v>265</v>
      </c>
      <c r="F23" s="112">
        <v>614</v>
      </c>
      <c r="G23" s="112">
        <f>SUM(E23:F23)</f>
        <v>879</v>
      </c>
      <c r="H23" s="111">
        <v>168</v>
      </c>
      <c r="I23" s="112">
        <v>1885</v>
      </c>
      <c r="J23" s="112">
        <f>SUM(H23:I23)</f>
        <v>2053</v>
      </c>
      <c r="K23" s="113">
        <v>148</v>
      </c>
      <c r="L23" s="112">
        <v>676</v>
      </c>
      <c r="M23" s="112">
        <f>SUM(K23:L23)</f>
        <v>824</v>
      </c>
      <c r="N23" s="111">
        <f aca="true" t="shared" si="4" ref="N23:S25">SUM(B23,H23)</f>
        <v>1724</v>
      </c>
      <c r="O23" s="112">
        <f t="shared" si="4"/>
        <v>4067</v>
      </c>
      <c r="P23" s="112">
        <f t="shared" si="4"/>
        <v>5791</v>
      </c>
      <c r="Q23" s="111">
        <f t="shared" si="4"/>
        <v>413</v>
      </c>
      <c r="R23" s="112">
        <f>SUM(F23,L23)</f>
        <v>1290</v>
      </c>
      <c r="S23" s="112">
        <f>SUM(G23,M23)</f>
        <v>1703</v>
      </c>
    </row>
    <row r="24" spans="1:19" s="99" customFormat="1" ht="12.75">
      <c r="A24" s="97" t="s">
        <v>48</v>
      </c>
      <c r="B24" s="111">
        <v>1461</v>
      </c>
      <c r="C24" s="112">
        <v>2291</v>
      </c>
      <c r="D24" s="112">
        <f>SUM(B24:C24)</f>
        <v>3752</v>
      </c>
      <c r="E24" s="111">
        <v>438</v>
      </c>
      <c r="F24" s="112">
        <v>986</v>
      </c>
      <c r="G24" s="112">
        <f>SUM(E24:F24)</f>
        <v>1424</v>
      </c>
      <c r="H24" s="111">
        <v>215</v>
      </c>
      <c r="I24" s="112">
        <v>1874</v>
      </c>
      <c r="J24" s="112">
        <f>SUM(H24:I24)</f>
        <v>2089</v>
      </c>
      <c r="K24" s="113">
        <v>145</v>
      </c>
      <c r="L24" s="112">
        <v>665</v>
      </c>
      <c r="M24" s="112">
        <f>SUM(K24:L24)</f>
        <v>810</v>
      </c>
      <c r="N24" s="111">
        <f t="shared" si="4"/>
        <v>1676</v>
      </c>
      <c r="O24" s="112">
        <f t="shared" si="4"/>
        <v>4165</v>
      </c>
      <c r="P24" s="112">
        <f t="shared" si="4"/>
        <v>5841</v>
      </c>
      <c r="Q24" s="111">
        <f t="shared" si="4"/>
        <v>583</v>
      </c>
      <c r="R24" s="112">
        <f>SUM(F24,L24)</f>
        <v>1651</v>
      </c>
      <c r="S24" s="112">
        <f>SUM(G24,M24)</f>
        <v>2234</v>
      </c>
    </row>
    <row r="25" spans="1:19" s="99" customFormat="1" ht="12.75">
      <c r="A25" s="97" t="s">
        <v>56</v>
      </c>
      <c r="B25" s="111">
        <v>1423</v>
      </c>
      <c r="C25" s="112">
        <v>2463</v>
      </c>
      <c r="D25" s="112">
        <f>SUM(B25:C25)</f>
        <v>3886</v>
      </c>
      <c r="E25" s="111">
        <v>441</v>
      </c>
      <c r="F25" s="112">
        <v>816</v>
      </c>
      <c r="G25" s="112">
        <f>SUM(E25:F25)</f>
        <v>1257</v>
      </c>
      <c r="H25" s="111">
        <v>192</v>
      </c>
      <c r="I25" s="112">
        <v>1746</v>
      </c>
      <c r="J25" s="112">
        <f>SUM(H25:I25)</f>
        <v>1938</v>
      </c>
      <c r="K25" s="113">
        <v>197</v>
      </c>
      <c r="L25" s="112">
        <v>631</v>
      </c>
      <c r="M25" s="112">
        <f>SUM(K25:L25)</f>
        <v>828</v>
      </c>
      <c r="N25" s="111">
        <f t="shared" si="4"/>
        <v>1615</v>
      </c>
      <c r="O25" s="112">
        <f t="shared" si="4"/>
        <v>4209</v>
      </c>
      <c r="P25" s="112">
        <f t="shared" si="4"/>
        <v>5824</v>
      </c>
      <c r="Q25" s="111">
        <f t="shared" si="4"/>
        <v>638</v>
      </c>
      <c r="R25" s="112">
        <f t="shared" si="4"/>
        <v>1447</v>
      </c>
      <c r="S25" s="112">
        <f t="shared" si="4"/>
        <v>2085</v>
      </c>
    </row>
    <row r="26" spans="1:19" s="99" customFormat="1" ht="12.75">
      <c r="A26" s="97" t="s">
        <v>86</v>
      </c>
      <c r="B26" s="111">
        <v>1307</v>
      </c>
      <c r="C26" s="112">
        <v>2418</v>
      </c>
      <c r="D26" s="112">
        <f>SUM(B26:C26)</f>
        <v>3725</v>
      </c>
      <c r="E26" s="111">
        <v>498</v>
      </c>
      <c r="F26" s="112">
        <v>873</v>
      </c>
      <c r="G26" s="112">
        <f>SUM(E26:F26)</f>
        <v>1371</v>
      </c>
      <c r="H26" s="111">
        <v>237</v>
      </c>
      <c r="I26" s="112">
        <v>1718</v>
      </c>
      <c r="J26" s="112">
        <f>SUM(H26:I26)</f>
        <v>1955</v>
      </c>
      <c r="K26" s="113">
        <v>223</v>
      </c>
      <c r="L26" s="112">
        <v>628</v>
      </c>
      <c r="M26" s="112">
        <f>SUM(K26:L26)</f>
        <v>851</v>
      </c>
      <c r="N26" s="111">
        <f aca="true" t="shared" si="5" ref="N26:S26">SUM(B26,H26)</f>
        <v>1544</v>
      </c>
      <c r="O26" s="112">
        <f t="shared" si="5"/>
        <v>4136</v>
      </c>
      <c r="P26" s="112">
        <f t="shared" si="5"/>
        <v>5680</v>
      </c>
      <c r="Q26" s="111">
        <f t="shared" si="5"/>
        <v>721</v>
      </c>
      <c r="R26" s="112">
        <f t="shared" si="5"/>
        <v>1501</v>
      </c>
      <c r="S26" s="112">
        <f t="shared" si="5"/>
        <v>2222</v>
      </c>
    </row>
    <row r="27" spans="1:19" ht="12.75">
      <c r="A27" s="3"/>
      <c r="B27" s="11"/>
      <c r="C27" s="12"/>
      <c r="D27" s="12"/>
      <c r="E27" s="11"/>
      <c r="F27" s="12"/>
      <c r="G27" s="12"/>
      <c r="H27" s="11"/>
      <c r="I27" s="12"/>
      <c r="J27" s="12"/>
      <c r="K27" s="11"/>
      <c r="L27" s="12"/>
      <c r="M27" s="12"/>
      <c r="N27" s="11"/>
      <c r="O27" s="12"/>
      <c r="P27" s="12"/>
      <c r="Q27" s="11"/>
      <c r="R27" s="12"/>
      <c r="S27" s="12"/>
    </row>
    <row r="28" spans="1:19" ht="12.75">
      <c r="A28" s="1" t="s">
        <v>13</v>
      </c>
      <c r="B28" s="11"/>
      <c r="C28" s="12"/>
      <c r="D28" s="12"/>
      <c r="E28" s="11"/>
      <c r="F28" s="12"/>
      <c r="G28" s="12"/>
      <c r="H28" s="11"/>
      <c r="I28" s="12"/>
      <c r="J28" s="12"/>
      <c r="K28" s="11"/>
      <c r="L28" s="12"/>
      <c r="M28" s="12"/>
      <c r="N28" s="11"/>
      <c r="O28" s="12"/>
      <c r="P28" s="12"/>
      <c r="Q28" s="11"/>
      <c r="R28" s="12"/>
      <c r="S28" s="12"/>
    </row>
    <row r="29" spans="1:19" s="99" customFormat="1" ht="12.75">
      <c r="A29" s="97" t="s">
        <v>39</v>
      </c>
      <c r="B29" s="111">
        <v>138</v>
      </c>
      <c r="C29" s="112">
        <v>227</v>
      </c>
      <c r="D29" s="112">
        <f>SUM(B29:C29)</f>
        <v>365</v>
      </c>
      <c r="E29" s="111">
        <v>14</v>
      </c>
      <c r="F29" s="112">
        <v>53</v>
      </c>
      <c r="G29" s="112">
        <f>SUM(E29:F29)</f>
        <v>67</v>
      </c>
      <c r="H29" s="111">
        <v>27</v>
      </c>
      <c r="I29" s="112">
        <v>227</v>
      </c>
      <c r="J29" s="112">
        <f>SUM(H29:I29)</f>
        <v>254</v>
      </c>
      <c r="K29" s="113">
        <v>23</v>
      </c>
      <c r="L29" s="112">
        <v>148</v>
      </c>
      <c r="M29" s="112">
        <f>SUM(K29:L29)</f>
        <v>171</v>
      </c>
      <c r="N29" s="111">
        <f aca="true" t="shared" si="6" ref="N29:O32">SUM(B29,H29)</f>
        <v>165</v>
      </c>
      <c r="O29" s="112">
        <f t="shared" si="6"/>
        <v>454</v>
      </c>
      <c r="P29" s="112">
        <f aca="true" t="shared" si="7" ref="P29:R30">SUM(D29,J29)</f>
        <v>619</v>
      </c>
      <c r="Q29" s="111">
        <f t="shared" si="7"/>
        <v>37</v>
      </c>
      <c r="R29" s="112">
        <f t="shared" si="7"/>
        <v>201</v>
      </c>
      <c r="S29" s="112">
        <f>SUM(G29,M29)</f>
        <v>238</v>
      </c>
    </row>
    <row r="30" spans="1:19" s="99" customFormat="1" ht="12.75">
      <c r="A30" s="97" t="s">
        <v>48</v>
      </c>
      <c r="B30" s="111">
        <v>121</v>
      </c>
      <c r="C30" s="112">
        <v>233</v>
      </c>
      <c r="D30" s="112">
        <f>SUM(B30:C30)</f>
        <v>354</v>
      </c>
      <c r="E30" s="111">
        <v>25</v>
      </c>
      <c r="F30" s="112">
        <v>113</v>
      </c>
      <c r="G30" s="112">
        <f>SUM(E30:F30)</f>
        <v>138</v>
      </c>
      <c r="H30" s="111">
        <v>26</v>
      </c>
      <c r="I30" s="112">
        <v>241</v>
      </c>
      <c r="J30" s="112">
        <f>SUM(H30:I30)</f>
        <v>267</v>
      </c>
      <c r="K30" s="113">
        <v>27</v>
      </c>
      <c r="L30" s="112">
        <v>180</v>
      </c>
      <c r="M30" s="112">
        <f>SUM(K30:L30)</f>
        <v>207</v>
      </c>
      <c r="N30" s="111">
        <f t="shared" si="6"/>
        <v>147</v>
      </c>
      <c r="O30" s="112">
        <f t="shared" si="6"/>
        <v>474</v>
      </c>
      <c r="P30" s="112">
        <f t="shared" si="7"/>
        <v>621</v>
      </c>
      <c r="Q30" s="111">
        <f t="shared" si="7"/>
        <v>52</v>
      </c>
      <c r="R30" s="112">
        <f t="shared" si="7"/>
        <v>293</v>
      </c>
      <c r="S30" s="112">
        <f>SUM(G30,M30)</f>
        <v>345</v>
      </c>
    </row>
    <row r="31" spans="1:19" s="99" customFormat="1" ht="12.75">
      <c r="A31" s="97" t="s">
        <v>56</v>
      </c>
      <c r="B31" s="111">
        <v>121</v>
      </c>
      <c r="C31" s="112">
        <v>290</v>
      </c>
      <c r="D31" s="112">
        <f>SUM(B31:C31)</f>
        <v>411</v>
      </c>
      <c r="E31" s="111">
        <v>40</v>
      </c>
      <c r="F31" s="112">
        <v>155</v>
      </c>
      <c r="G31" s="112">
        <f>SUM(E31:F31)</f>
        <v>195</v>
      </c>
      <c r="H31" s="111">
        <v>28</v>
      </c>
      <c r="I31" s="112">
        <v>272</v>
      </c>
      <c r="J31" s="112">
        <f>SUM(H31:I31)</f>
        <v>300</v>
      </c>
      <c r="K31" s="113">
        <v>24</v>
      </c>
      <c r="L31" s="112">
        <v>214</v>
      </c>
      <c r="M31" s="112">
        <f>SUM(K31:L31)</f>
        <v>238</v>
      </c>
      <c r="N31" s="111">
        <f t="shared" si="6"/>
        <v>149</v>
      </c>
      <c r="O31" s="112">
        <f t="shared" si="6"/>
        <v>562</v>
      </c>
      <c r="P31" s="112">
        <f aca="true" t="shared" si="8" ref="P31:R32">SUM(D31,J31)</f>
        <v>711</v>
      </c>
      <c r="Q31" s="111">
        <f t="shared" si="8"/>
        <v>64</v>
      </c>
      <c r="R31" s="112">
        <f t="shared" si="8"/>
        <v>369</v>
      </c>
      <c r="S31" s="112">
        <f>SUM(G31,M31)</f>
        <v>433</v>
      </c>
    </row>
    <row r="32" spans="1:19" s="99" customFormat="1" ht="12.75">
      <c r="A32" s="97" t="s">
        <v>86</v>
      </c>
      <c r="B32" s="111">
        <v>123</v>
      </c>
      <c r="C32" s="112">
        <v>346</v>
      </c>
      <c r="D32" s="112">
        <f>SUM(B32:C32)</f>
        <v>469</v>
      </c>
      <c r="E32" s="111">
        <v>46</v>
      </c>
      <c r="F32" s="112">
        <v>189</v>
      </c>
      <c r="G32" s="112">
        <f>SUM(E32:F32)</f>
        <v>235</v>
      </c>
      <c r="H32" s="111">
        <v>26</v>
      </c>
      <c r="I32" s="112">
        <v>284</v>
      </c>
      <c r="J32" s="112">
        <f>SUM(H32:I32)</f>
        <v>310</v>
      </c>
      <c r="K32" s="113">
        <v>29</v>
      </c>
      <c r="L32" s="112">
        <v>221</v>
      </c>
      <c r="M32" s="112">
        <f>SUM(K32:L32)</f>
        <v>250</v>
      </c>
      <c r="N32" s="111">
        <f t="shared" si="6"/>
        <v>149</v>
      </c>
      <c r="O32" s="112">
        <f t="shared" si="6"/>
        <v>630</v>
      </c>
      <c r="P32" s="112">
        <f t="shared" si="8"/>
        <v>779</v>
      </c>
      <c r="Q32" s="111">
        <f t="shared" si="8"/>
        <v>75</v>
      </c>
      <c r="R32" s="112">
        <f t="shared" si="8"/>
        <v>410</v>
      </c>
      <c r="S32" s="112">
        <f>SUM(G32,M32)</f>
        <v>485</v>
      </c>
    </row>
    <row r="33" spans="1:19" s="99" customFormat="1" ht="12.75">
      <c r="A33" s="97"/>
      <c r="B33" s="111"/>
      <c r="C33" s="112"/>
      <c r="D33" s="112"/>
      <c r="E33" s="111"/>
      <c r="F33" s="112"/>
      <c r="G33" s="112"/>
      <c r="H33" s="111"/>
      <c r="I33" s="112"/>
      <c r="J33" s="112"/>
      <c r="K33" s="113"/>
      <c r="L33" s="112"/>
      <c r="M33" s="112"/>
      <c r="N33" s="111"/>
      <c r="O33" s="112"/>
      <c r="P33" s="112"/>
      <c r="Q33" s="111"/>
      <c r="R33" s="112"/>
      <c r="S33" s="112"/>
    </row>
    <row r="34" spans="1:19" s="99" customFormat="1" ht="14.25" customHeight="1">
      <c r="A34" s="96" t="s">
        <v>115</v>
      </c>
      <c r="B34" s="111"/>
      <c r="C34" s="112"/>
      <c r="D34" s="112"/>
      <c r="E34" s="111"/>
      <c r="F34" s="112"/>
      <c r="G34" s="112"/>
      <c r="H34" s="111"/>
      <c r="I34" s="112"/>
      <c r="J34" s="112"/>
      <c r="K34" s="111"/>
      <c r="L34" s="112"/>
      <c r="M34" s="112"/>
      <c r="N34" s="111"/>
      <c r="O34" s="112"/>
      <c r="P34" s="112"/>
      <c r="Q34" s="111"/>
      <c r="R34" s="112"/>
      <c r="S34" s="112"/>
    </row>
    <row r="35" spans="1:19" s="99" customFormat="1" ht="14.25" customHeight="1">
      <c r="A35" s="97" t="s">
        <v>86</v>
      </c>
      <c r="B35" s="86">
        <v>2</v>
      </c>
      <c r="C35" s="208">
        <v>9</v>
      </c>
      <c r="D35" s="208">
        <f>SUM(B35,C35)</f>
        <v>11</v>
      </c>
      <c r="E35" s="86">
        <v>0</v>
      </c>
      <c r="F35" s="208">
        <v>5</v>
      </c>
      <c r="G35" s="208">
        <f>SUM(E35:F35)</f>
        <v>5</v>
      </c>
      <c r="H35" s="86">
        <v>0</v>
      </c>
      <c r="I35" s="208">
        <v>4</v>
      </c>
      <c r="J35" s="208">
        <f>SUM(H35:I35)</f>
        <v>4</v>
      </c>
      <c r="K35" s="86">
        <v>0</v>
      </c>
      <c r="L35" s="208">
        <v>3</v>
      </c>
      <c r="M35" s="208">
        <f>SUM(K35:L35)</f>
        <v>3</v>
      </c>
      <c r="N35" s="86">
        <f>SUM(B35,H35)</f>
        <v>2</v>
      </c>
      <c r="O35" s="208">
        <f>SUM(C35,I35)</f>
        <v>13</v>
      </c>
      <c r="P35" s="208">
        <f>SUM(N35:O35)</f>
        <v>15</v>
      </c>
      <c r="Q35" s="86">
        <f>SUM(E35,K35)</f>
        <v>0</v>
      </c>
      <c r="R35" s="208">
        <f>SUM(F35,L35)</f>
        <v>8</v>
      </c>
      <c r="S35" s="208">
        <f>SUM(Q35:R35)</f>
        <v>8</v>
      </c>
    </row>
    <row r="36" spans="1:19" ht="12.75">
      <c r="A36" s="2"/>
      <c r="B36" s="11"/>
      <c r="C36" s="12"/>
      <c r="D36" s="12"/>
      <c r="E36" s="11"/>
      <c r="F36" s="12"/>
      <c r="G36" s="12"/>
      <c r="H36" s="11"/>
      <c r="I36" s="12"/>
      <c r="J36" s="12"/>
      <c r="K36" s="11"/>
      <c r="L36" s="12"/>
      <c r="M36" s="12"/>
      <c r="N36" s="11"/>
      <c r="O36" s="12"/>
      <c r="P36" s="12"/>
      <c r="Q36" s="11"/>
      <c r="R36" s="12"/>
      <c r="S36" s="12"/>
    </row>
    <row r="37" spans="1:19" ht="12.75">
      <c r="A37" s="1" t="s">
        <v>14</v>
      </c>
      <c r="B37" s="11"/>
      <c r="C37" s="12"/>
      <c r="D37" s="12"/>
      <c r="E37" s="11"/>
      <c r="F37" s="12"/>
      <c r="G37" s="12"/>
      <c r="H37" s="11"/>
      <c r="I37" s="12"/>
      <c r="J37" s="12"/>
      <c r="K37" s="11"/>
      <c r="L37" s="12"/>
      <c r="M37" s="12"/>
      <c r="N37" s="11"/>
      <c r="O37" s="12"/>
      <c r="P37" s="12"/>
      <c r="Q37" s="11"/>
      <c r="R37" s="12"/>
      <c r="S37" s="12"/>
    </row>
    <row r="38" spans="1:19" s="99" customFormat="1" ht="12.75">
      <c r="A38" s="97" t="s">
        <v>39</v>
      </c>
      <c r="B38" s="111">
        <f>280+25</f>
        <v>305</v>
      </c>
      <c r="C38" s="112">
        <f>476+40</f>
        <v>516</v>
      </c>
      <c r="D38" s="112">
        <f>SUM(B38:C38)</f>
        <v>821</v>
      </c>
      <c r="E38" s="111">
        <f>143+0</f>
        <v>143</v>
      </c>
      <c r="F38" s="112">
        <f>208+0</f>
        <v>208</v>
      </c>
      <c r="G38" s="112">
        <f>SUM(E38:F38)</f>
        <v>351</v>
      </c>
      <c r="H38" s="111">
        <f>25+9</f>
        <v>34</v>
      </c>
      <c r="I38" s="112">
        <f>252+50</f>
        <v>302</v>
      </c>
      <c r="J38" s="112">
        <f>SUM(H38:I38)</f>
        <v>336</v>
      </c>
      <c r="K38" s="113">
        <f>46+2</f>
        <v>48</v>
      </c>
      <c r="L38" s="112">
        <f>158+4</f>
        <v>162</v>
      </c>
      <c r="M38" s="112">
        <f>SUM(K38:L38)</f>
        <v>210</v>
      </c>
      <c r="N38" s="111">
        <f aca="true" t="shared" si="9" ref="N38:S40">SUM(B38,H38)</f>
        <v>339</v>
      </c>
      <c r="O38" s="112">
        <f t="shared" si="9"/>
        <v>818</v>
      </c>
      <c r="P38" s="112">
        <f t="shared" si="9"/>
        <v>1157</v>
      </c>
      <c r="Q38" s="111">
        <f t="shared" si="9"/>
        <v>191</v>
      </c>
      <c r="R38" s="112">
        <f t="shared" si="9"/>
        <v>370</v>
      </c>
      <c r="S38" s="112">
        <f t="shared" si="9"/>
        <v>561</v>
      </c>
    </row>
    <row r="39" spans="1:19" s="99" customFormat="1" ht="12.75">
      <c r="A39" s="97" t="s">
        <v>48</v>
      </c>
      <c r="B39" s="111">
        <v>329</v>
      </c>
      <c r="C39" s="112">
        <v>521</v>
      </c>
      <c r="D39" s="112">
        <f>SUM(B39:C39)</f>
        <v>850</v>
      </c>
      <c r="E39" s="111">
        <v>187</v>
      </c>
      <c r="F39" s="112">
        <v>257</v>
      </c>
      <c r="G39" s="112">
        <f>SUM(E39:F39)</f>
        <v>444</v>
      </c>
      <c r="H39" s="111">
        <v>41</v>
      </c>
      <c r="I39" s="112">
        <v>353</v>
      </c>
      <c r="J39" s="112">
        <f>SUM(H39:I39)</f>
        <v>394</v>
      </c>
      <c r="K39" s="113">
        <v>32</v>
      </c>
      <c r="L39" s="112">
        <v>120</v>
      </c>
      <c r="M39" s="112">
        <f>SUM(K39:L39)</f>
        <v>152</v>
      </c>
      <c r="N39" s="111">
        <f t="shared" si="9"/>
        <v>370</v>
      </c>
      <c r="O39" s="112">
        <f t="shared" si="9"/>
        <v>874</v>
      </c>
      <c r="P39" s="112">
        <f t="shared" si="9"/>
        <v>1244</v>
      </c>
      <c r="Q39" s="111">
        <f t="shared" si="9"/>
        <v>219</v>
      </c>
      <c r="R39" s="112">
        <f t="shared" si="9"/>
        <v>377</v>
      </c>
      <c r="S39" s="112">
        <f t="shared" si="9"/>
        <v>596</v>
      </c>
    </row>
    <row r="40" spans="1:19" s="99" customFormat="1" ht="12.75">
      <c r="A40" s="97" t="s">
        <v>56</v>
      </c>
      <c r="B40" s="111">
        <v>377</v>
      </c>
      <c r="C40" s="112">
        <v>541</v>
      </c>
      <c r="D40" s="112">
        <f>SUM(B40:C40)</f>
        <v>918</v>
      </c>
      <c r="E40" s="111">
        <v>176</v>
      </c>
      <c r="F40" s="112">
        <v>306</v>
      </c>
      <c r="G40" s="112">
        <f>SUM(E40:F40)</f>
        <v>482</v>
      </c>
      <c r="H40" s="111">
        <v>46</v>
      </c>
      <c r="I40" s="112">
        <v>411</v>
      </c>
      <c r="J40" s="112">
        <f>SUM(H40:I40)</f>
        <v>457</v>
      </c>
      <c r="K40" s="113">
        <v>48</v>
      </c>
      <c r="L40" s="112">
        <v>153</v>
      </c>
      <c r="M40" s="112">
        <f>SUM(K40:L40)</f>
        <v>201</v>
      </c>
      <c r="N40" s="111">
        <f t="shared" si="9"/>
        <v>423</v>
      </c>
      <c r="O40" s="112">
        <f t="shared" si="9"/>
        <v>952</v>
      </c>
      <c r="P40" s="112">
        <f t="shared" si="9"/>
        <v>1375</v>
      </c>
      <c r="Q40" s="111">
        <f t="shared" si="9"/>
        <v>224</v>
      </c>
      <c r="R40" s="112">
        <f t="shared" si="9"/>
        <v>459</v>
      </c>
      <c r="S40" s="112">
        <f t="shared" si="9"/>
        <v>683</v>
      </c>
    </row>
    <row r="41" spans="1:19" s="99" customFormat="1" ht="12.75">
      <c r="A41" s="97" t="s">
        <v>86</v>
      </c>
      <c r="B41" s="111">
        <v>415</v>
      </c>
      <c r="C41" s="112">
        <v>562</v>
      </c>
      <c r="D41" s="112">
        <f>SUM(B41:C41)</f>
        <v>977</v>
      </c>
      <c r="E41" s="111">
        <v>241</v>
      </c>
      <c r="F41" s="112">
        <v>362</v>
      </c>
      <c r="G41" s="112">
        <f>SUM(E41:F41)</f>
        <v>603</v>
      </c>
      <c r="H41" s="111">
        <v>69</v>
      </c>
      <c r="I41" s="112">
        <v>508</v>
      </c>
      <c r="J41" s="112">
        <f>SUM(H41:I41)</f>
        <v>577</v>
      </c>
      <c r="K41" s="113">
        <v>50</v>
      </c>
      <c r="L41" s="112">
        <v>239</v>
      </c>
      <c r="M41" s="112">
        <f>SUM(K41:L41)</f>
        <v>289</v>
      </c>
      <c r="N41" s="111">
        <f aca="true" t="shared" si="10" ref="N41:S41">SUM(B41,H41)</f>
        <v>484</v>
      </c>
      <c r="O41" s="112">
        <f t="shared" si="10"/>
        <v>1070</v>
      </c>
      <c r="P41" s="112">
        <f t="shared" si="10"/>
        <v>1554</v>
      </c>
      <c r="Q41" s="111">
        <f t="shared" si="10"/>
        <v>291</v>
      </c>
      <c r="R41" s="112">
        <f t="shared" si="10"/>
        <v>601</v>
      </c>
      <c r="S41" s="112">
        <f t="shared" si="10"/>
        <v>892</v>
      </c>
    </row>
    <row r="42" spans="1:19" ht="12.75">
      <c r="A42" s="2"/>
      <c r="B42" s="11"/>
      <c r="C42" s="12"/>
      <c r="D42" s="12"/>
      <c r="E42" s="11"/>
      <c r="F42" s="12"/>
      <c r="G42" s="12"/>
      <c r="H42" s="11"/>
      <c r="I42" s="12"/>
      <c r="J42" s="12"/>
      <c r="K42" s="11"/>
      <c r="L42" s="12"/>
      <c r="M42" s="12"/>
      <c r="N42" s="11"/>
      <c r="O42" s="12"/>
      <c r="P42" s="12"/>
      <c r="Q42" s="11"/>
      <c r="R42" s="12"/>
      <c r="S42" s="12"/>
    </row>
    <row r="43" spans="1:19" s="99" customFormat="1" ht="14.25" customHeight="1">
      <c r="A43" s="96" t="s">
        <v>68</v>
      </c>
      <c r="B43" s="111"/>
      <c r="C43" s="112"/>
      <c r="D43" s="112"/>
      <c r="E43" s="111"/>
      <c r="F43" s="112"/>
      <c r="G43" s="112"/>
      <c r="H43" s="111"/>
      <c r="I43" s="112"/>
      <c r="J43" s="112"/>
      <c r="K43" s="111"/>
      <c r="L43" s="112"/>
      <c r="M43" s="112"/>
      <c r="N43" s="111"/>
      <c r="O43" s="112"/>
      <c r="P43" s="112"/>
      <c r="Q43" s="111"/>
      <c r="R43" s="112"/>
      <c r="S43" s="112"/>
    </row>
    <row r="44" spans="1:19" s="99" customFormat="1" ht="14.25" customHeight="1">
      <c r="A44" s="97" t="s">
        <v>86</v>
      </c>
      <c r="B44" s="86">
        <v>0</v>
      </c>
      <c r="C44" s="208">
        <v>0</v>
      </c>
      <c r="D44" s="208">
        <f>SUM(B44,C44)</f>
        <v>0</v>
      </c>
      <c r="E44" s="86">
        <v>4</v>
      </c>
      <c r="F44" s="208">
        <v>11</v>
      </c>
      <c r="G44" s="208">
        <f>SUM(E44:F44)</f>
        <v>15</v>
      </c>
      <c r="H44" s="86">
        <v>0</v>
      </c>
      <c r="I44" s="208">
        <v>0</v>
      </c>
      <c r="J44" s="208">
        <f>SUM(H44:I44)</f>
        <v>0</v>
      </c>
      <c r="K44" s="86">
        <v>2</v>
      </c>
      <c r="L44" s="208">
        <v>59</v>
      </c>
      <c r="M44" s="208">
        <f>SUM(K44:L44)</f>
        <v>61</v>
      </c>
      <c r="N44" s="86">
        <f>SUM(B44,H44)</f>
        <v>0</v>
      </c>
      <c r="O44" s="208">
        <f>SUM(C44,I44)</f>
        <v>0</v>
      </c>
      <c r="P44" s="208">
        <f>SUM(N44:O44)</f>
        <v>0</v>
      </c>
      <c r="Q44" s="86">
        <f>SUM(E44,K44)</f>
        <v>6</v>
      </c>
      <c r="R44" s="208">
        <f>SUM(F44,L44)</f>
        <v>70</v>
      </c>
      <c r="S44" s="208">
        <f>SUM(Q44:R44)</f>
        <v>76</v>
      </c>
    </row>
    <row r="45" spans="1:19" ht="12.75">
      <c r="A45" s="2"/>
      <c r="B45" s="11"/>
      <c r="C45" s="12"/>
      <c r="D45" s="12"/>
      <c r="E45" s="11"/>
      <c r="F45" s="12"/>
      <c r="G45" s="12"/>
      <c r="H45" s="11"/>
      <c r="I45" s="12"/>
      <c r="J45" s="12"/>
      <c r="K45" s="11"/>
      <c r="L45" s="12"/>
      <c r="M45" s="12"/>
      <c r="N45" s="11"/>
      <c r="O45" s="12"/>
      <c r="P45" s="12"/>
      <c r="Q45" s="11"/>
      <c r="R45" s="12"/>
      <c r="S45" s="12"/>
    </row>
    <row r="46" spans="1:19" ht="12.75">
      <c r="A46" s="1" t="s">
        <v>61</v>
      </c>
      <c r="B46" s="11"/>
      <c r="C46" s="12"/>
      <c r="D46" s="12"/>
      <c r="E46" s="11"/>
      <c r="F46" s="12"/>
      <c r="G46" s="12"/>
      <c r="H46" s="11"/>
      <c r="I46" s="12"/>
      <c r="J46" s="12"/>
      <c r="K46" s="11"/>
      <c r="L46" s="12"/>
      <c r="M46" s="12"/>
      <c r="N46" s="11"/>
      <c r="O46" s="12"/>
      <c r="P46" s="12"/>
      <c r="Q46" s="11"/>
      <c r="R46" s="12"/>
      <c r="S46" s="12"/>
    </row>
    <row r="47" spans="1:19" s="99" customFormat="1" ht="12.75">
      <c r="A47" s="97" t="s">
        <v>39</v>
      </c>
      <c r="B47" s="111">
        <v>19</v>
      </c>
      <c r="C47" s="112">
        <v>38</v>
      </c>
      <c r="D47" s="112">
        <f>SUM(B47:C47)</f>
        <v>57</v>
      </c>
      <c r="E47" s="111">
        <v>16</v>
      </c>
      <c r="F47" s="112">
        <v>53</v>
      </c>
      <c r="G47" s="112">
        <f>SUM(E47:F47)</f>
        <v>69</v>
      </c>
      <c r="H47" s="111">
        <v>7</v>
      </c>
      <c r="I47" s="112">
        <v>61</v>
      </c>
      <c r="J47" s="112">
        <f>SUM(H47:I47)</f>
        <v>68</v>
      </c>
      <c r="K47" s="113">
        <v>18</v>
      </c>
      <c r="L47" s="112">
        <v>98</v>
      </c>
      <c r="M47" s="112">
        <f>SUM(K47:L47)</f>
        <v>116</v>
      </c>
      <c r="N47" s="111">
        <f aca="true" t="shared" si="11" ref="N47:P50">SUM(B47,H47)</f>
        <v>26</v>
      </c>
      <c r="O47" s="112">
        <f t="shared" si="11"/>
        <v>99</v>
      </c>
      <c r="P47" s="112">
        <f t="shared" si="11"/>
        <v>125</v>
      </c>
      <c r="Q47" s="111">
        <f aca="true" t="shared" si="12" ref="Q47:S48">SUM(E47,K47)</f>
        <v>34</v>
      </c>
      <c r="R47" s="112">
        <f t="shared" si="12"/>
        <v>151</v>
      </c>
      <c r="S47" s="112">
        <f t="shared" si="12"/>
        <v>185</v>
      </c>
    </row>
    <row r="48" spans="1:19" s="99" customFormat="1" ht="12.75">
      <c r="A48" s="97" t="s">
        <v>48</v>
      </c>
      <c r="B48" s="111">
        <v>24</v>
      </c>
      <c r="C48" s="112">
        <v>81</v>
      </c>
      <c r="D48" s="112">
        <f>SUM(B48:C48)</f>
        <v>105</v>
      </c>
      <c r="E48" s="111">
        <v>15</v>
      </c>
      <c r="F48" s="112">
        <v>64</v>
      </c>
      <c r="G48" s="112">
        <f>SUM(E48:F48)</f>
        <v>79</v>
      </c>
      <c r="H48" s="111">
        <v>7</v>
      </c>
      <c r="I48" s="112">
        <v>68</v>
      </c>
      <c r="J48" s="112">
        <f>SUM(H48:I48)</f>
        <v>75</v>
      </c>
      <c r="K48" s="113">
        <v>15</v>
      </c>
      <c r="L48" s="112">
        <v>98</v>
      </c>
      <c r="M48" s="112">
        <f>SUM(K48:L48)</f>
        <v>113</v>
      </c>
      <c r="N48" s="111">
        <f t="shared" si="11"/>
        <v>31</v>
      </c>
      <c r="O48" s="112">
        <f t="shared" si="11"/>
        <v>149</v>
      </c>
      <c r="P48" s="112">
        <f t="shared" si="11"/>
        <v>180</v>
      </c>
      <c r="Q48" s="111">
        <f t="shared" si="12"/>
        <v>30</v>
      </c>
      <c r="R48" s="112">
        <f t="shared" si="12"/>
        <v>162</v>
      </c>
      <c r="S48" s="112">
        <f t="shared" si="12"/>
        <v>192</v>
      </c>
    </row>
    <row r="49" spans="1:19" s="99" customFormat="1" ht="12.75">
      <c r="A49" s="97" t="s">
        <v>56</v>
      </c>
      <c r="B49" s="111">
        <v>33</v>
      </c>
      <c r="C49" s="112">
        <v>114</v>
      </c>
      <c r="D49" s="112">
        <f>SUM(B49:C49)</f>
        <v>147</v>
      </c>
      <c r="E49" s="111">
        <v>12</v>
      </c>
      <c r="F49" s="112">
        <v>45</v>
      </c>
      <c r="G49" s="112">
        <f>SUM(E49:F49)</f>
        <v>57</v>
      </c>
      <c r="H49" s="111">
        <v>7</v>
      </c>
      <c r="I49" s="112">
        <v>101</v>
      </c>
      <c r="J49" s="112">
        <f>SUM(H49:I49)</f>
        <v>108</v>
      </c>
      <c r="K49" s="113">
        <v>17</v>
      </c>
      <c r="L49" s="112">
        <v>86</v>
      </c>
      <c r="M49" s="112">
        <f>SUM(K49:L49)</f>
        <v>103</v>
      </c>
      <c r="N49" s="111">
        <f t="shared" si="11"/>
        <v>40</v>
      </c>
      <c r="O49" s="112">
        <f t="shared" si="11"/>
        <v>215</v>
      </c>
      <c r="P49" s="112">
        <f t="shared" si="11"/>
        <v>255</v>
      </c>
      <c r="Q49" s="111">
        <f aca="true" t="shared" si="13" ref="Q49:S50">SUM(E49,K49)</f>
        <v>29</v>
      </c>
      <c r="R49" s="112">
        <f t="shared" si="13"/>
        <v>131</v>
      </c>
      <c r="S49" s="112">
        <f t="shared" si="13"/>
        <v>160</v>
      </c>
    </row>
    <row r="50" spans="1:19" s="99" customFormat="1" ht="12.75">
      <c r="A50" s="97" t="s">
        <v>86</v>
      </c>
      <c r="B50" s="111">
        <v>42</v>
      </c>
      <c r="C50" s="112">
        <v>151</v>
      </c>
      <c r="D50" s="112">
        <f>SUM(B50:C50)</f>
        <v>193</v>
      </c>
      <c r="E50" s="111">
        <v>43</v>
      </c>
      <c r="F50" s="112">
        <v>118</v>
      </c>
      <c r="G50" s="112">
        <f>SUM(E50:F50)</f>
        <v>161</v>
      </c>
      <c r="H50" s="111">
        <v>5</v>
      </c>
      <c r="I50" s="112">
        <v>120</v>
      </c>
      <c r="J50" s="112">
        <f>SUM(H50:I50)</f>
        <v>125</v>
      </c>
      <c r="K50" s="113">
        <v>35</v>
      </c>
      <c r="L50" s="112">
        <v>102</v>
      </c>
      <c r="M50" s="112">
        <f>SUM(K50:L50)</f>
        <v>137</v>
      </c>
      <c r="N50" s="111">
        <f t="shared" si="11"/>
        <v>47</v>
      </c>
      <c r="O50" s="112">
        <f t="shared" si="11"/>
        <v>271</v>
      </c>
      <c r="P50" s="112">
        <f t="shared" si="11"/>
        <v>318</v>
      </c>
      <c r="Q50" s="111">
        <f t="shared" si="13"/>
        <v>78</v>
      </c>
      <c r="R50" s="112">
        <f t="shared" si="13"/>
        <v>220</v>
      </c>
      <c r="S50" s="112">
        <f t="shared" si="13"/>
        <v>298</v>
      </c>
    </row>
    <row r="51" spans="1:19" ht="12.75">
      <c r="A51" s="2"/>
      <c r="B51" s="11"/>
      <c r="C51" s="12"/>
      <c r="D51" s="12"/>
      <c r="E51" s="13"/>
      <c r="F51" s="12"/>
      <c r="G51" s="12"/>
      <c r="H51" s="11"/>
      <c r="I51" s="12"/>
      <c r="J51" s="12"/>
      <c r="K51" s="11"/>
      <c r="L51" s="12"/>
      <c r="M51" s="12"/>
      <c r="N51" s="11"/>
      <c r="O51" s="12"/>
      <c r="P51" s="12"/>
      <c r="Q51" s="11"/>
      <c r="R51" s="12"/>
      <c r="S51" s="12"/>
    </row>
    <row r="52" spans="1:19" ht="12.75">
      <c r="A52" s="1" t="s">
        <v>62</v>
      </c>
      <c r="B52" s="11"/>
      <c r="C52" s="12"/>
      <c r="D52" s="12"/>
      <c r="E52" s="11"/>
      <c r="F52" s="12"/>
      <c r="G52" s="12"/>
      <c r="H52" s="11"/>
      <c r="I52" s="12"/>
      <c r="J52" s="12"/>
      <c r="K52" s="11"/>
      <c r="L52" s="12"/>
      <c r="M52" s="12"/>
      <c r="N52" s="11"/>
      <c r="O52" s="12"/>
      <c r="P52" s="12"/>
      <c r="Q52" s="11"/>
      <c r="R52" s="12"/>
      <c r="S52" s="12"/>
    </row>
    <row r="53" spans="1:19" s="99" customFormat="1" ht="12.75">
      <c r="A53" s="97" t="s">
        <v>39</v>
      </c>
      <c r="B53" s="111">
        <v>0</v>
      </c>
      <c r="C53" s="112">
        <v>4</v>
      </c>
      <c r="D53" s="112">
        <f>SUM(B53:C53)</f>
        <v>4</v>
      </c>
      <c r="E53" s="111">
        <v>3</v>
      </c>
      <c r="F53" s="112">
        <v>5</v>
      </c>
      <c r="G53" s="112">
        <f>SUM(E53:F53)</f>
        <v>8</v>
      </c>
      <c r="H53" s="111">
        <v>1</v>
      </c>
      <c r="I53" s="112">
        <v>3</v>
      </c>
      <c r="J53" s="112">
        <f>SUM(H53:I53)</f>
        <v>4</v>
      </c>
      <c r="K53" s="113">
        <v>0</v>
      </c>
      <c r="L53" s="112">
        <v>9</v>
      </c>
      <c r="M53" s="112">
        <f>SUM(K53:L53)</f>
        <v>9</v>
      </c>
      <c r="N53" s="111">
        <f aca="true" t="shared" si="14" ref="N53:O56">SUM(B53,H53)</f>
        <v>1</v>
      </c>
      <c r="O53" s="112">
        <f t="shared" si="14"/>
        <v>7</v>
      </c>
      <c r="P53" s="112">
        <f aca="true" t="shared" si="15" ref="P53:R54">SUM(D53,J53)</f>
        <v>8</v>
      </c>
      <c r="Q53" s="111">
        <f t="shared" si="15"/>
        <v>3</v>
      </c>
      <c r="R53" s="112">
        <f t="shared" si="15"/>
        <v>14</v>
      </c>
      <c r="S53" s="112">
        <f>SUM(G53,M53)</f>
        <v>17</v>
      </c>
    </row>
    <row r="54" spans="1:19" s="99" customFormat="1" ht="12.75">
      <c r="A54" s="97" t="s">
        <v>48</v>
      </c>
      <c r="B54" s="111">
        <v>2</v>
      </c>
      <c r="C54" s="112">
        <v>7</v>
      </c>
      <c r="D54" s="112">
        <f>SUM(B54:C54)</f>
        <v>9</v>
      </c>
      <c r="E54" s="111">
        <v>1</v>
      </c>
      <c r="F54" s="112">
        <v>9</v>
      </c>
      <c r="G54" s="112">
        <f>SUM(E54:F54)</f>
        <v>10</v>
      </c>
      <c r="H54" s="111">
        <v>0</v>
      </c>
      <c r="I54" s="112">
        <v>5</v>
      </c>
      <c r="J54" s="112">
        <f>SUM(H54:I54)</f>
        <v>5</v>
      </c>
      <c r="K54" s="113">
        <v>1</v>
      </c>
      <c r="L54" s="112">
        <v>8</v>
      </c>
      <c r="M54" s="112">
        <f>SUM(K54:L54)</f>
        <v>9</v>
      </c>
      <c r="N54" s="111">
        <f t="shared" si="14"/>
        <v>2</v>
      </c>
      <c r="O54" s="112">
        <f t="shared" si="14"/>
        <v>12</v>
      </c>
      <c r="P54" s="112">
        <f t="shared" si="15"/>
        <v>14</v>
      </c>
      <c r="Q54" s="111">
        <f t="shared" si="15"/>
        <v>2</v>
      </c>
      <c r="R54" s="112">
        <f t="shared" si="15"/>
        <v>17</v>
      </c>
      <c r="S54" s="112">
        <f>SUM(G54,M54)</f>
        <v>19</v>
      </c>
    </row>
    <row r="55" spans="1:19" s="99" customFormat="1" ht="12.75">
      <c r="A55" s="97" t="s">
        <v>56</v>
      </c>
      <c r="B55" s="111">
        <v>2</v>
      </c>
      <c r="C55" s="112">
        <v>8</v>
      </c>
      <c r="D55" s="112">
        <f>SUM(B55:C55)</f>
        <v>10</v>
      </c>
      <c r="E55" s="111">
        <v>2</v>
      </c>
      <c r="F55" s="112">
        <v>5</v>
      </c>
      <c r="G55" s="112">
        <f>SUM(E55:F55)</f>
        <v>7</v>
      </c>
      <c r="H55" s="111">
        <v>0</v>
      </c>
      <c r="I55" s="112">
        <v>10</v>
      </c>
      <c r="J55" s="112">
        <f>SUM(H55:I55)</f>
        <v>10</v>
      </c>
      <c r="K55" s="113">
        <v>2</v>
      </c>
      <c r="L55" s="112">
        <v>8</v>
      </c>
      <c r="M55" s="112">
        <f>SUM(K55:L55)</f>
        <v>10</v>
      </c>
      <c r="N55" s="111">
        <f t="shared" si="14"/>
        <v>2</v>
      </c>
      <c r="O55" s="112">
        <f t="shared" si="14"/>
        <v>18</v>
      </c>
      <c r="P55" s="112">
        <f aca="true" t="shared" si="16" ref="P55:R56">SUM(D55,J55)</f>
        <v>20</v>
      </c>
      <c r="Q55" s="111">
        <f t="shared" si="16"/>
        <v>4</v>
      </c>
      <c r="R55" s="112">
        <f t="shared" si="16"/>
        <v>13</v>
      </c>
      <c r="S55" s="112">
        <f>SUM(G55,M55)</f>
        <v>17</v>
      </c>
    </row>
    <row r="56" spans="1:19" s="99" customFormat="1" ht="12.75">
      <c r="A56" s="97" t="s">
        <v>86</v>
      </c>
      <c r="B56" s="111">
        <v>3</v>
      </c>
      <c r="C56" s="112">
        <v>10</v>
      </c>
      <c r="D56" s="112">
        <f>SUM(B56:C56)</f>
        <v>13</v>
      </c>
      <c r="E56" s="111">
        <v>2</v>
      </c>
      <c r="F56" s="112">
        <v>4</v>
      </c>
      <c r="G56" s="112">
        <f>SUM(E56:F56)</f>
        <v>6</v>
      </c>
      <c r="H56" s="111">
        <v>1</v>
      </c>
      <c r="I56" s="112">
        <v>13</v>
      </c>
      <c r="J56" s="112">
        <f>SUM(H56:I56)</f>
        <v>14</v>
      </c>
      <c r="K56" s="113">
        <v>3</v>
      </c>
      <c r="L56" s="112">
        <v>12</v>
      </c>
      <c r="M56" s="112">
        <f>SUM(K56:L56)</f>
        <v>15</v>
      </c>
      <c r="N56" s="111">
        <f t="shared" si="14"/>
        <v>4</v>
      </c>
      <c r="O56" s="112">
        <f t="shared" si="14"/>
        <v>23</v>
      </c>
      <c r="P56" s="112">
        <f t="shared" si="16"/>
        <v>27</v>
      </c>
      <c r="Q56" s="111">
        <f t="shared" si="16"/>
        <v>5</v>
      </c>
      <c r="R56" s="112">
        <f t="shared" si="16"/>
        <v>16</v>
      </c>
      <c r="S56" s="112">
        <f>SUM(G56,M56)</f>
        <v>21</v>
      </c>
    </row>
    <row r="57" spans="1:19" ht="12.75">
      <c r="A57" s="2"/>
      <c r="B57" s="11"/>
      <c r="C57" s="18"/>
      <c r="D57" s="12"/>
      <c r="E57" s="11"/>
      <c r="F57" s="18"/>
      <c r="G57" s="12"/>
      <c r="H57" s="11"/>
      <c r="I57" s="12"/>
      <c r="J57" s="12"/>
      <c r="K57" s="11"/>
      <c r="L57" s="12"/>
      <c r="M57" s="12"/>
      <c r="N57" s="11"/>
      <c r="O57" s="12"/>
      <c r="P57" s="12"/>
      <c r="Q57" s="11"/>
      <c r="R57" s="12"/>
      <c r="S57" s="12"/>
    </row>
    <row r="58" spans="1:19" ht="12.75">
      <c r="A58" s="1" t="s">
        <v>15</v>
      </c>
      <c r="B58" s="11"/>
      <c r="C58" s="12"/>
      <c r="D58" s="12"/>
      <c r="E58" s="11"/>
      <c r="F58" s="12"/>
      <c r="G58" s="12"/>
      <c r="H58" s="11"/>
      <c r="I58" s="12"/>
      <c r="J58" s="12"/>
      <c r="K58" s="11"/>
      <c r="L58" s="12"/>
      <c r="M58" s="12"/>
      <c r="N58" s="11"/>
      <c r="O58" s="12"/>
      <c r="P58" s="12"/>
      <c r="Q58" s="11"/>
      <c r="R58" s="12"/>
      <c r="S58" s="12"/>
    </row>
    <row r="59" spans="1:19" s="99" customFormat="1" ht="12.75">
      <c r="A59" s="97" t="s">
        <v>39</v>
      </c>
      <c r="B59" s="111">
        <v>12</v>
      </c>
      <c r="C59" s="112">
        <v>13</v>
      </c>
      <c r="D59" s="112">
        <f>SUM(B59:C59)</f>
        <v>25</v>
      </c>
      <c r="E59" s="111">
        <v>2</v>
      </c>
      <c r="F59" s="112">
        <v>3</v>
      </c>
      <c r="G59" s="112">
        <f>SUM(E59:F59)</f>
        <v>5</v>
      </c>
      <c r="H59" s="111">
        <v>20</v>
      </c>
      <c r="I59" s="112">
        <v>95</v>
      </c>
      <c r="J59" s="112">
        <f>SUM(H59:I59)</f>
        <v>115</v>
      </c>
      <c r="K59" s="113">
        <v>21</v>
      </c>
      <c r="L59" s="112">
        <v>54</v>
      </c>
      <c r="M59" s="112">
        <f>SUM(K59:L59)</f>
        <v>75</v>
      </c>
      <c r="N59" s="111">
        <f aca="true" t="shared" si="17" ref="N59:S61">SUM(B59,H59)</f>
        <v>32</v>
      </c>
      <c r="O59" s="112">
        <f t="shared" si="17"/>
        <v>108</v>
      </c>
      <c r="P59" s="112">
        <f t="shared" si="17"/>
        <v>140</v>
      </c>
      <c r="Q59" s="111">
        <f t="shared" si="17"/>
        <v>23</v>
      </c>
      <c r="R59" s="112">
        <f t="shared" si="17"/>
        <v>57</v>
      </c>
      <c r="S59" s="112">
        <f t="shared" si="17"/>
        <v>80</v>
      </c>
    </row>
    <row r="60" spans="1:19" s="99" customFormat="1" ht="12.75">
      <c r="A60" s="97" t="s">
        <v>48</v>
      </c>
      <c r="B60" s="111">
        <v>12</v>
      </c>
      <c r="C60" s="112">
        <v>14</v>
      </c>
      <c r="D60" s="112">
        <f>SUM(B60:C60)</f>
        <v>26</v>
      </c>
      <c r="E60" s="111">
        <v>2</v>
      </c>
      <c r="F60" s="112">
        <v>2</v>
      </c>
      <c r="G60" s="112">
        <f>SUM(E60:F60)</f>
        <v>4</v>
      </c>
      <c r="H60" s="111">
        <v>25</v>
      </c>
      <c r="I60" s="112">
        <v>96</v>
      </c>
      <c r="J60" s="112">
        <f>SUM(H60:I60)</f>
        <v>121</v>
      </c>
      <c r="K60" s="113">
        <v>26</v>
      </c>
      <c r="L60" s="112">
        <v>54</v>
      </c>
      <c r="M60" s="112">
        <f>SUM(K60:L60)</f>
        <v>80</v>
      </c>
      <c r="N60" s="111">
        <f t="shared" si="17"/>
        <v>37</v>
      </c>
      <c r="O60" s="112">
        <f t="shared" si="17"/>
        <v>110</v>
      </c>
      <c r="P60" s="112">
        <f t="shared" si="17"/>
        <v>147</v>
      </c>
      <c r="Q60" s="111">
        <f t="shared" si="17"/>
        <v>28</v>
      </c>
      <c r="R60" s="112">
        <f t="shared" si="17"/>
        <v>56</v>
      </c>
      <c r="S60" s="112">
        <f t="shared" si="17"/>
        <v>84</v>
      </c>
    </row>
    <row r="61" spans="1:19" s="99" customFormat="1" ht="12.75">
      <c r="A61" s="97" t="s">
        <v>56</v>
      </c>
      <c r="B61" s="111">
        <v>12</v>
      </c>
      <c r="C61" s="112">
        <v>15</v>
      </c>
      <c r="D61" s="112">
        <f>SUM(B61:C61)</f>
        <v>27</v>
      </c>
      <c r="E61" s="111">
        <v>0</v>
      </c>
      <c r="F61" s="112">
        <v>2</v>
      </c>
      <c r="G61" s="112">
        <f>SUM(E61:F61)</f>
        <v>2</v>
      </c>
      <c r="H61" s="111">
        <v>23</v>
      </c>
      <c r="I61" s="112">
        <v>110</v>
      </c>
      <c r="J61" s="112">
        <f>SUM(H61:I61)</f>
        <v>133</v>
      </c>
      <c r="K61" s="113">
        <v>25</v>
      </c>
      <c r="L61" s="112">
        <v>59</v>
      </c>
      <c r="M61" s="112">
        <f>SUM(K61:L61)</f>
        <v>84</v>
      </c>
      <c r="N61" s="111">
        <f t="shared" si="17"/>
        <v>35</v>
      </c>
      <c r="O61" s="112">
        <f t="shared" si="17"/>
        <v>125</v>
      </c>
      <c r="P61" s="112">
        <f t="shared" si="17"/>
        <v>160</v>
      </c>
      <c r="Q61" s="111">
        <f t="shared" si="17"/>
        <v>25</v>
      </c>
      <c r="R61" s="112">
        <f t="shared" si="17"/>
        <v>61</v>
      </c>
      <c r="S61" s="112">
        <f t="shared" si="17"/>
        <v>86</v>
      </c>
    </row>
    <row r="62" spans="1:19" s="99" customFormat="1" ht="12.75">
      <c r="A62" s="97" t="s">
        <v>86</v>
      </c>
      <c r="B62" s="111">
        <v>17</v>
      </c>
      <c r="C62" s="112">
        <v>26</v>
      </c>
      <c r="D62" s="112">
        <f>SUM(B62:C62)</f>
        <v>43</v>
      </c>
      <c r="E62" s="111">
        <v>7</v>
      </c>
      <c r="F62" s="112">
        <v>2</v>
      </c>
      <c r="G62" s="112">
        <f>SUM(E62:F62)</f>
        <v>9</v>
      </c>
      <c r="H62" s="111">
        <v>25</v>
      </c>
      <c r="I62" s="112">
        <v>124</v>
      </c>
      <c r="J62" s="112">
        <f>SUM(H62:I62)</f>
        <v>149</v>
      </c>
      <c r="K62" s="113">
        <v>36</v>
      </c>
      <c r="L62" s="112">
        <v>95</v>
      </c>
      <c r="M62" s="112">
        <f>SUM(K62:L62)</f>
        <v>131</v>
      </c>
      <c r="N62" s="111">
        <f aca="true" t="shared" si="18" ref="N62:S62">SUM(B62,H62)</f>
        <v>42</v>
      </c>
      <c r="O62" s="112">
        <f t="shared" si="18"/>
        <v>150</v>
      </c>
      <c r="P62" s="112">
        <f t="shared" si="18"/>
        <v>192</v>
      </c>
      <c r="Q62" s="111">
        <f t="shared" si="18"/>
        <v>43</v>
      </c>
      <c r="R62" s="112">
        <f t="shared" si="18"/>
        <v>97</v>
      </c>
      <c r="S62" s="112">
        <f t="shared" si="18"/>
        <v>140</v>
      </c>
    </row>
    <row r="63" spans="1:19" ht="12.75">
      <c r="A63" s="19"/>
      <c r="B63" s="23"/>
      <c r="C63" s="24"/>
      <c r="D63" s="24"/>
      <c r="E63" s="23"/>
      <c r="F63" s="24"/>
      <c r="G63" s="24"/>
      <c r="H63" s="23"/>
      <c r="I63" s="24"/>
      <c r="J63" s="24"/>
      <c r="K63" s="23"/>
      <c r="L63" s="24"/>
      <c r="M63" s="24"/>
      <c r="N63" s="23"/>
      <c r="O63" s="24"/>
      <c r="P63" s="24"/>
      <c r="Q63" s="23"/>
      <c r="R63" s="24"/>
      <c r="S63" s="24"/>
    </row>
    <row r="64" spans="1:19" ht="12.75">
      <c r="A64" s="1" t="s">
        <v>117</v>
      </c>
      <c r="B64" s="11"/>
      <c r="C64" s="12"/>
      <c r="D64" s="12"/>
      <c r="E64" s="11"/>
      <c r="F64" s="12"/>
      <c r="G64" s="12"/>
      <c r="H64" s="11"/>
      <c r="I64" s="12"/>
      <c r="J64" s="12"/>
      <c r="K64" s="11"/>
      <c r="L64" s="12"/>
      <c r="M64" s="12"/>
      <c r="N64" s="11"/>
      <c r="O64" s="12"/>
      <c r="P64" s="12"/>
      <c r="Q64" s="11"/>
      <c r="R64" s="12"/>
      <c r="S64" s="12"/>
    </row>
    <row r="65" spans="1:19" s="99" customFormat="1" ht="12.75">
      <c r="A65" s="97" t="s">
        <v>39</v>
      </c>
      <c r="B65" s="111">
        <f>(638+331)-(25+52)</f>
        <v>892</v>
      </c>
      <c r="C65" s="112">
        <f>(729+152)-(40+66)</f>
        <v>775</v>
      </c>
      <c r="D65" s="112">
        <f>SUM(B65:C65)</f>
        <v>1667</v>
      </c>
      <c r="E65" s="111">
        <f>(72+2)-(0+0)</f>
        <v>74</v>
      </c>
      <c r="F65" s="112">
        <f>(259+3)-(0+0)</f>
        <v>262</v>
      </c>
      <c r="G65" s="112">
        <f>SUM(E65:F65)</f>
        <v>336</v>
      </c>
      <c r="H65" s="111">
        <f>(89+34)-(9+21)</f>
        <v>93</v>
      </c>
      <c r="I65" s="112">
        <f>(615+50)-(50+43)</f>
        <v>572</v>
      </c>
      <c r="J65" s="112">
        <f>SUM(H65:I65)</f>
        <v>665</v>
      </c>
      <c r="K65" s="113">
        <f>(116+4)-(2+2)</f>
        <v>116</v>
      </c>
      <c r="L65" s="112">
        <f>(955+9)-(4+8)</f>
        <v>952</v>
      </c>
      <c r="M65" s="112">
        <f>SUM(K65:L65)</f>
        <v>1068</v>
      </c>
      <c r="N65" s="111">
        <f>SUM(B65,H65)</f>
        <v>985</v>
      </c>
      <c r="O65" s="112">
        <f aca="true" t="shared" si="19" ref="O65:S66">SUM(C65,I65)</f>
        <v>1347</v>
      </c>
      <c r="P65" s="112">
        <f t="shared" si="19"/>
        <v>2332</v>
      </c>
      <c r="Q65" s="111">
        <f t="shared" si="19"/>
        <v>190</v>
      </c>
      <c r="R65" s="112">
        <f t="shared" si="19"/>
        <v>1214</v>
      </c>
      <c r="S65" s="112">
        <f t="shared" si="19"/>
        <v>1404</v>
      </c>
    </row>
    <row r="66" spans="1:19" s="99" customFormat="1" ht="12.75">
      <c r="A66" s="97" t="s">
        <v>48</v>
      </c>
      <c r="B66" s="111">
        <v>825</v>
      </c>
      <c r="C66" s="112">
        <v>869</v>
      </c>
      <c r="D66" s="112">
        <f>SUM(B66:C66)</f>
        <v>1694</v>
      </c>
      <c r="E66" s="111">
        <v>169</v>
      </c>
      <c r="F66" s="112">
        <v>633</v>
      </c>
      <c r="G66" s="112">
        <f>SUM(E66:F66)</f>
        <v>802</v>
      </c>
      <c r="H66" s="111">
        <v>157</v>
      </c>
      <c r="I66" s="112">
        <v>1097</v>
      </c>
      <c r="J66" s="112">
        <f>SUM(H66:I66)</f>
        <v>1254</v>
      </c>
      <c r="K66" s="113">
        <v>68</v>
      </c>
      <c r="L66" s="112">
        <v>588</v>
      </c>
      <c r="M66" s="112">
        <f>SUM(K66:L66)</f>
        <v>656</v>
      </c>
      <c r="N66" s="111">
        <f>SUM(B66,H66)</f>
        <v>982</v>
      </c>
      <c r="O66" s="112">
        <f t="shared" si="19"/>
        <v>1966</v>
      </c>
      <c r="P66" s="112">
        <f t="shared" si="19"/>
        <v>2948</v>
      </c>
      <c r="Q66" s="111">
        <f t="shared" si="19"/>
        <v>237</v>
      </c>
      <c r="R66" s="112">
        <f t="shared" si="19"/>
        <v>1221</v>
      </c>
      <c r="S66" s="112">
        <f t="shared" si="19"/>
        <v>1458</v>
      </c>
    </row>
    <row r="67" spans="1:19" s="99" customFormat="1" ht="12.75">
      <c r="A67" s="97" t="s">
        <v>56</v>
      </c>
      <c r="B67" s="111">
        <v>756</v>
      </c>
      <c r="C67" s="112">
        <v>987</v>
      </c>
      <c r="D67" s="112">
        <f>SUM(B67:C67)</f>
        <v>1743</v>
      </c>
      <c r="E67" s="111">
        <v>145</v>
      </c>
      <c r="F67" s="112">
        <v>603</v>
      </c>
      <c r="G67" s="112">
        <f>SUM(E67:F67)</f>
        <v>748</v>
      </c>
      <c r="H67" s="111">
        <v>151</v>
      </c>
      <c r="I67" s="112">
        <v>1390</v>
      </c>
      <c r="J67" s="112">
        <f>SUM(H67:I67)</f>
        <v>1541</v>
      </c>
      <c r="K67" s="113">
        <v>53</v>
      </c>
      <c r="L67" s="112">
        <v>662</v>
      </c>
      <c r="M67" s="112">
        <f>SUM(K67:L67)</f>
        <v>715</v>
      </c>
      <c r="N67" s="111">
        <f>SUM(B67,H67)</f>
        <v>907</v>
      </c>
      <c r="O67" s="112">
        <f aca="true" t="shared" si="20" ref="O67:S68">SUM(C67,I67)</f>
        <v>2377</v>
      </c>
      <c r="P67" s="112">
        <f t="shared" si="20"/>
        <v>3284</v>
      </c>
      <c r="Q67" s="111">
        <f t="shared" si="20"/>
        <v>198</v>
      </c>
      <c r="R67" s="112">
        <f t="shared" si="20"/>
        <v>1265</v>
      </c>
      <c r="S67" s="112">
        <f t="shared" si="20"/>
        <v>1463</v>
      </c>
    </row>
    <row r="68" spans="1:19" s="99" customFormat="1" ht="12.75">
      <c r="A68" s="97" t="s">
        <v>86</v>
      </c>
      <c r="B68" s="111">
        <v>844</v>
      </c>
      <c r="C68" s="112">
        <v>1436</v>
      </c>
      <c r="D68" s="112">
        <f>SUM(B68:C68)</f>
        <v>2280</v>
      </c>
      <c r="E68" s="111">
        <v>287</v>
      </c>
      <c r="F68" s="112">
        <v>808</v>
      </c>
      <c r="G68" s="112">
        <f>SUM(E68:F68)</f>
        <v>1095</v>
      </c>
      <c r="H68" s="111">
        <v>166</v>
      </c>
      <c r="I68" s="112">
        <v>1664</v>
      </c>
      <c r="J68" s="112">
        <f>SUM(H68:I68)</f>
        <v>1830</v>
      </c>
      <c r="K68" s="113">
        <v>134</v>
      </c>
      <c r="L68" s="112">
        <v>884</v>
      </c>
      <c r="M68" s="112">
        <f>SUM(K68:L68)</f>
        <v>1018</v>
      </c>
      <c r="N68" s="111">
        <f>SUM(B68,H68)</f>
        <v>1010</v>
      </c>
      <c r="O68" s="112">
        <f t="shared" si="20"/>
        <v>3100</v>
      </c>
      <c r="P68" s="112">
        <f t="shared" si="20"/>
        <v>4110</v>
      </c>
      <c r="Q68" s="111">
        <f t="shared" si="20"/>
        <v>421</v>
      </c>
      <c r="R68" s="112">
        <f t="shared" si="20"/>
        <v>1692</v>
      </c>
      <c r="S68" s="112">
        <f t="shared" si="20"/>
        <v>2113</v>
      </c>
    </row>
    <row r="69" ht="12.75" customHeight="1"/>
    <row r="70" spans="1:19" s="99" customFormat="1" ht="12.75">
      <c r="A70" s="190" t="s">
        <v>43</v>
      </c>
      <c r="B70" s="168"/>
      <c r="C70" s="112"/>
      <c r="D70" s="112"/>
      <c r="E70" s="168"/>
      <c r="F70" s="112"/>
      <c r="G70" s="112"/>
      <c r="H70" s="168"/>
      <c r="I70" s="112"/>
      <c r="J70" s="112"/>
      <c r="K70" s="169"/>
      <c r="L70" s="112"/>
      <c r="M70" s="112"/>
      <c r="N70" s="168"/>
      <c r="O70" s="112"/>
      <c r="P70" s="112"/>
      <c r="Q70" s="168"/>
      <c r="R70" s="112"/>
      <c r="S70" s="112"/>
    </row>
    <row r="71" spans="1:19" s="99" customFormat="1" ht="12.75">
      <c r="A71" s="190" t="s">
        <v>44</v>
      </c>
      <c r="B71" s="168"/>
      <c r="C71" s="112"/>
      <c r="D71" s="112"/>
      <c r="E71" s="168"/>
      <c r="F71" s="112"/>
      <c r="G71" s="112"/>
      <c r="H71" s="168"/>
      <c r="I71" s="112"/>
      <c r="J71" s="112"/>
      <c r="K71" s="169"/>
      <c r="L71" s="112"/>
      <c r="M71" s="112"/>
      <c r="N71" s="168"/>
      <c r="O71" s="112"/>
      <c r="P71" s="112"/>
      <c r="Q71" s="168"/>
      <c r="R71" s="112"/>
      <c r="S71" s="112"/>
    </row>
    <row r="72" spans="1:19" s="99" customFormat="1" ht="12.75">
      <c r="A72" s="190" t="s">
        <v>63</v>
      </c>
      <c r="B72" s="168"/>
      <c r="C72" s="112"/>
      <c r="D72" s="112"/>
      <c r="E72" s="168"/>
      <c r="F72" s="112"/>
      <c r="G72" s="112"/>
      <c r="H72" s="168"/>
      <c r="I72" s="112"/>
      <c r="J72" s="112"/>
      <c r="K72" s="169"/>
      <c r="L72" s="112"/>
      <c r="M72" s="112"/>
      <c r="N72" s="168"/>
      <c r="O72" s="112"/>
      <c r="P72" s="112"/>
      <c r="Q72" s="168"/>
      <c r="R72" s="112"/>
      <c r="S72" s="112"/>
    </row>
    <row r="73" spans="1:19" ht="12.75">
      <c r="A73" s="245" t="s">
        <v>116</v>
      </c>
      <c r="B73" s="12"/>
      <c r="C73" s="12"/>
      <c r="D73" s="12"/>
      <c r="E73" s="12"/>
      <c r="F73" s="12"/>
      <c r="G73" s="12"/>
      <c r="H73" s="12"/>
      <c r="I73" s="12"/>
      <c r="J73" s="12"/>
      <c r="K73" s="12"/>
      <c r="L73" s="12"/>
      <c r="M73" s="12"/>
      <c r="N73" s="12"/>
      <c r="O73" s="12"/>
      <c r="P73" s="12"/>
      <c r="Q73" s="12"/>
      <c r="R73" s="12"/>
      <c r="S73" s="12"/>
    </row>
    <row r="74" spans="1:19" ht="12.75">
      <c r="A74" s="191" t="s">
        <v>118</v>
      </c>
      <c r="B74" s="12"/>
      <c r="C74" s="12"/>
      <c r="D74" s="12"/>
      <c r="E74" s="12"/>
      <c r="F74" s="12"/>
      <c r="G74" s="12"/>
      <c r="H74" s="12"/>
      <c r="I74" s="12"/>
      <c r="J74" s="12"/>
      <c r="K74" s="12"/>
      <c r="L74" s="12"/>
      <c r="M74" s="12"/>
      <c r="N74" s="12"/>
      <c r="O74" s="12"/>
      <c r="P74" s="12"/>
      <c r="Q74" s="12"/>
      <c r="R74" s="12"/>
      <c r="S74" s="12"/>
    </row>
    <row r="75" spans="2:19" ht="12.75">
      <c r="B75" s="12"/>
      <c r="C75" s="12"/>
      <c r="D75" s="12"/>
      <c r="E75" s="12"/>
      <c r="F75" s="12"/>
      <c r="G75" s="12"/>
      <c r="H75" s="12"/>
      <c r="I75" s="12"/>
      <c r="J75" s="12"/>
      <c r="K75" s="12"/>
      <c r="L75" s="12"/>
      <c r="M75" s="12"/>
      <c r="N75" s="12"/>
      <c r="O75" s="12"/>
      <c r="P75" s="12"/>
      <c r="Q75" s="12"/>
      <c r="R75" s="12"/>
      <c r="S75" s="12"/>
    </row>
    <row r="76" spans="2:19" ht="12.75">
      <c r="B76" s="12"/>
      <c r="C76" s="12"/>
      <c r="D76" s="12"/>
      <c r="E76" s="12"/>
      <c r="F76" s="12"/>
      <c r="G76" s="12"/>
      <c r="H76" s="12"/>
      <c r="I76" s="12"/>
      <c r="J76" s="12"/>
      <c r="K76" s="12"/>
      <c r="L76" s="12"/>
      <c r="M76" s="12"/>
      <c r="N76" s="12"/>
      <c r="O76" s="12"/>
      <c r="P76" s="12"/>
      <c r="Q76" s="12"/>
      <c r="R76" s="12"/>
      <c r="S76" s="12"/>
    </row>
    <row r="77" spans="2:19" ht="12.75">
      <c r="B77" s="12"/>
      <c r="C77" s="12"/>
      <c r="D77" s="12"/>
      <c r="E77" s="12"/>
      <c r="F77" s="12"/>
      <c r="G77" s="12"/>
      <c r="H77" s="12"/>
      <c r="I77" s="12"/>
      <c r="J77" s="12"/>
      <c r="K77" s="12"/>
      <c r="L77" s="12"/>
      <c r="M77" s="12"/>
      <c r="N77" s="12"/>
      <c r="O77" s="12"/>
      <c r="P77" s="12"/>
      <c r="Q77" s="12"/>
      <c r="R77" s="12"/>
      <c r="S77" s="12"/>
    </row>
    <row r="78" spans="2:19" ht="12.75">
      <c r="B78" s="12"/>
      <c r="C78" s="12"/>
      <c r="D78" s="12"/>
      <c r="E78" s="12"/>
      <c r="F78" s="12"/>
      <c r="G78" s="12"/>
      <c r="H78" s="12"/>
      <c r="I78" s="12"/>
      <c r="J78" s="12"/>
      <c r="K78" s="12"/>
      <c r="L78" s="12"/>
      <c r="M78" s="12"/>
      <c r="N78" s="12"/>
      <c r="O78" s="12"/>
      <c r="P78" s="12"/>
      <c r="Q78" s="12"/>
      <c r="R78" s="12"/>
      <c r="S78" s="12"/>
    </row>
    <row r="79" spans="2:19" ht="12.75">
      <c r="B79" s="12"/>
      <c r="C79" s="12"/>
      <c r="D79" s="12"/>
      <c r="E79" s="12"/>
      <c r="F79" s="12"/>
      <c r="G79" s="12"/>
      <c r="H79" s="12"/>
      <c r="I79" s="12"/>
      <c r="J79" s="12"/>
      <c r="K79" s="12"/>
      <c r="L79" s="12"/>
      <c r="M79" s="12"/>
      <c r="N79" s="12"/>
      <c r="O79" s="12"/>
      <c r="P79" s="12"/>
      <c r="Q79" s="12"/>
      <c r="R79" s="12"/>
      <c r="S79" s="12"/>
    </row>
    <row r="80" spans="2:19" ht="12.75">
      <c r="B80" s="12"/>
      <c r="C80" s="12"/>
      <c r="D80" s="12"/>
      <c r="E80" s="12"/>
      <c r="F80" s="12"/>
      <c r="G80" s="12"/>
      <c r="H80" s="12"/>
      <c r="I80" s="12"/>
      <c r="J80" s="12"/>
      <c r="K80" s="12"/>
      <c r="L80" s="12"/>
      <c r="M80" s="12"/>
      <c r="N80" s="12"/>
      <c r="O80" s="12"/>
      <c r="P80" s="12"/>
      <c r="Q80" s="12"/>
      <c r="R80" s="12"/>
      <c r="S80" s="12"/>
    </row>
    <row r="81" spans="2:19" ht="12.75">
      <c r="B81" s="12"/>
      <c r="C81" s="12"/>
      <c r="D81" s="12"/>
      <c r="E81" s="12"/>
      <c r="F81" s="12"/>
      <c r="G81" s="12"/>
      <c r="H81" s="12"/>
      <c r="I81" s="12"/>
      <c r="J81" s="12"/>
      <c r="K81" s="12"/>
      <c r="L81" s="12"/>
      <c r="M81" s="12"/>
      <c r="N81" s="12"/>
      <c r="O81" s="12"/>
      <c r="P81" s="12"/>
      <c r="Q81" s="12"/>
      <c r="R81" s="12"/>
      <c r="S81" s="12"/>
    </row>
    <row r="82" spans="2:19" ht="12.75">
      <c r="B82" s="12"/>
      <c r="C82" s="12"/>
      <c r="D82" s="12"/>
      <c r="E82" s="12"/>
      <c r="F82" s="12"/>
      <c r="G82" s="12"/>
      <c r="H82" s="12"/>
      <c r="I82" s="12"/>
      <c r="J82" s="12"/>
      <c r="K82" s="12"/>
      <c r="L82" s="12"/>
      <c r="M82" s="12"/>
      <c r="N82" s="12"/>
      <c r="O82" s="12"/>
      <c r="P82" s="12"/>
      <c r="Q82" s="12"/>
      <c r="R82" s="12"/>
      <c r="S82" s="12"/>
    </row>
    <row r="83" spans="2:19" ht="12.75">
      <c r="B83" s="12"/>
      <c r="C83" s="12"/>
      <c r="D83" s="12"/>
      <c r="E83" s="12"/>
      <c r="F83" s="12"/>
      <c r="G83" s="12"/>
      <c r="H83" s="12"/>
      <c r="I83" s="12"/>
      <c r="J83" s="12"/>
      <c r="K83" s="12"/>
      <c r="L83" s="12"/>
      <c r="M83" s="12"/>
      <c r="N83" s="12"/>
      <c r="O83" s="12"/>
      <c r="P83" s="12"/>
      <c r="Q83" s="12"/>
      <c r="R83" s="12"/>
      <c r="S83" s="12"/>
    </row>
    <row r="84" spans="2:19" ht="12.75">
      <c r="B84" s="12"/>
      <c r="C84" s="12"/>
      <c r="D84" s="12"/>
      <c r="E84" s="12"/>
      <c r="F84" s="12"/>
      <c r="G84" s="12"/>
      <c r="H84" s="12"/>
      <c r="I84" s="12"/>
      <c r="J84" s="12"/>
      <c r="K84" s="12"/>
      <c r="L84" s="12"/>
      <c r="M84" s="12"/>
      <c r="N84" s="12"/>
      <c r="O84" s="12"/>
      <c r="P84" s="12"/>
      <c r="Q84" s="12"/>
      <c r="R84" s="12"/>
      <c r="S84" s="12"/>
    </row>
    <row r="85" spans="2:19" ht="12.75">
      <c r="B85" s="12"/>
      <c r="C85" s="12"/>
      <c r="D85" s="12"/>
      <c r="E85" s="12"/>
      <c r="F85" s="12"/>
      <c r="G85" s="12"/>
      <c r="H85" s="12"/>
      <c r="I85" s="12"/>
      <c r="J85" s="12"/>
      <c r="K85" s="12"/>
      <c r="L85" s="12"/>
      <c r="M85" s="12"/>
      <c r="N85" s="12"/>
      <c r="O85" s="12"/>
      <c r="P85" s="12"/>
      <c r="Q85" s="12"/>
      <c r="R85" s="12"/>
      <c r="S85" s="12"/>
    </row>
    <row r="86" spans="2:19" ht="12.75">
      <c r="B86" s="12"/>
      <c r="C86" s="12"/>
      <c r="D86" s="12"/>
      <c r="E86" s="12"/>
      <c r="F86" s="12"/>
      <c r="G86" s="12"/>
      <c r="H86" s="12"/>
      <c r="I86" s="12"/>
      <c r="J86" s="12"/>
      <c r="K86" s="12"/>
      <c r="L86" s="12"/>
      <c r="M86" s="12"/>
      <c r="N86" s="12"/>
      <c r="O86" s="12"/>
      <c r="P86" s="12"/>
      <c r="Q86" s="12"/>
      <c r="R86" s="12"/>
      <c r="S86" s="12"/>
    </row>
    <row r="87" spans="2:19" ht="12.75">
      <c r="B87" s="12"/>
      <c r="C87" s="12"/>
      <c r="D87" s="12"/>
      <c r="E87" s="12"/>
      <c r="F87" s="12"/>
      <c r="G87" s="12"/>
      <c r="H87" s="12"/>
      <c r="I87" s="12"/>
      <c r="J87" s="12"/>
      <c r="K87" s="12"/>
      <c r="L87" s="12"/>
      <c r="M87" s="12"/>
      <c r="N87" s="12"/>
      <c r="O87" s="12"/>
      <c r="P87" s="12"/>
      <c r="Q87" s="12"/>
      <c r="R87" s="12"/>
      <c r="S87" s="12"/>
    </row>
    <row r="88" spans="2:19" ht="12.75">
      <c r="B88" s="12"/>
      <c r="C88" s="12"/>
      <c r="D88" s="12"/>
      <c r="E88" s="12"/>
      <c r="F88" s="12"/>
      <c r="G88" s="12"/>
      <c r="H88" s="12"/>
      <c r="I88" s="12"/>
      <c r="J88" s="12"/>
      <c r="K88" s="12"/>
      <c r="L88" s="12"/>
      <c r="M88" s="12"/>
      <c r="N88" s="12"/>
      <c r="O88" s="12"/>
      <c r="P88" s="12"/>
      <c r="Q88" s="12"/>
      <c r="R88" s="12"/>
      <c r="S88" s="12"/>
    </row>
    <row r="89" spans="2:19" ht="12.75">
      <c r="B89" s="12"/>
      <c r="C89" s="12"/>
      <c r="D89" s="12"/>
      <c r="E89" s="12"/>
      <c r="F89" s="12"/>
      <c r="G89" s="12"/>
      <c r="H89" s="12"/>
      <c r="I89" s="12"/>
      <c r="J89" s="12"/>
      <c r="K89" s="12"/>
      <c r="L89" s="12"/>
      <c r="M89" s="12"/>
      <c r="N89" s="12"/>
      <c r="O89" s="12"/>
      <c r="P89" s="12"/>
      <c r="Q89" s="12"/>
      <c r="R89" s="12"/>
      <c r="S89" s="12"/>
    </row>
    <row r="90" spans="2:19" ht="12.75">
      <c r="B90" s="12"/>
      <c r="C90" s="12"/>
      <c r="D90" s="12"/>
      <c r="E90" s="12"/>
      <c r="F90" s="12"/>
      <c r="G90" s="12"/>
      <c r="H90" s="12"/>
      <c r="I90" s="12"/>
      <c r="J90" s="12"/>
      <c r="K90" s="12"/>
      <c r="L90" s="12"/>
      <c r="M90" s="12"/>
      <c r="N90" s="12"/>
      <c r="O90" s="12"/>
      <c r="P90" s="12"/>
      <c r="Q90" s="12"/>
      <c r="R90" s="12"/>
      <c r="S90" s="12"/>
    </row>
    <row r="91" spans="2:19" ht="12.75">
      <c r="B91" s="12"/>
      <c r="C91" s="12"/>
      <c r="D91" s="12"/>
      <c r="E91" s="12"/>
      <c r="F91" s="12"/>
      <c r="G91" s="12"/>
      <c r="H91" s="12"/>
      <c r="I91" s="12"/>
      <c r="J91" s="12"/>
      <c r="K91" s="12"/>
      <c r="L91" s="12"/>
      <c r="M91" s="12"/>
      <c r="N91" s="12"/>
      <c r="O91" s="12"/>
      <c r="P91" s="12"/>
      <c r="Q91" s="12"/>
      <c r="R91" s="12"/>
      <c r="S91" s="12"/>
    </row>
    <row r="92" spans="2:19" ht="12.75">
      <c r="B92" s="12"/>
      <c r="C92" s="12"/>
      <c r="D92" s="12"/>
      <c r="E92" s="12"/>
      <c r="F92" s="12"/>
      <c r="G92" s="12"/>
      <c r="H92" s="12"/>
      <c r="I92" s="12"/>
      <c r="J92" s="12"/>
      <c r="K92" s="12"/>
      <c r="L92" s="12"/>
      <c r="M92" s="12"/>
      <c r="N92" s="12"/>
      <c r="O92" s="12"/>
      <c r="P92" s="12"/>
      <c r="Q92" s="12"/>
      <c r="R92" s="12"/>
      <c r="S92" s="12"/>
    </row>
    <row r="93" spans="2:19" ht="12.75">
      <c r="B93" s="12"/>
      <c r="C93" s="12"/>
      <c r="D93" s="12"/>
      <c r="E93" s="12"/>
      <c r="F93" s="12"/>
      <c r="G93" s="12"/>
      <c r="H93" s="12"/>
      <c r="I93" s="12"/>
      <c r="J93" s="12"/>
      <c r="K93" s="12"/>
      <c r="L93" s="12"/>
      <c r="M93" s="12"/>
      <c r="N93" s="12"/>
      <c r="O93" s="12"/>
      <c r="P93" s="12"/>
      <c r="Q93" s="12"/>
      <c r="R93" s="12"/>
      <c r="S93" s="12"/>
    </row>
    <row r="94" spans="2:19" ht="12.75">
      <c r="B94" s="12"/>
      <c r="C94" s="12"/>
      <c r="D94" s="12"/>
      <c r="E94" s="12"/>
      <c r="F94" s="12"/>
      <c r="G94" s="12"/>
      <c r="H94" s="12"/>
      <c r="I94" s="12"/>
      <c r="J94" s="12"/>
      <c r="K94" s="12"/>
      <c r="L94" s="12"/>
      <c r="M94" s="12"/>
      <c r="N94" s="12"/>
      <c r="O94" s="12"/>
      <c r="P94" s="12"/>
      <c r="Q94" s="12"/>
      <c r="R94" s="12"/>
      <c r="S94" s="12"/>
    </row>
    <row r="95" spans="2:19" ht="12.75">
      <c r="B95" s="12"/>
      <c r="C95" s="12"/>
      <c r="D95" s="12"/>
      <c r="E95" s="12"/>
      <c r="F95" s="12"/>
      <c r="G95" s="12"/>
      <c r="H95" s="12"/>
      <c r="I95" s="12"/>
      <c r="J95" s="12"/>
      <c r="K95" s="12"/>
      <c r="L95" s="12"/>
      <c r="M95" s="12"/>
      <c r="N95" s="12"/>
      <c r="O95" s="12"/>
      <c r="P95" s="12"/>
      <c r="Q95" s="12"/>
      <c r="R95" s="12"/>
      <c r="S95" s="12"/>
    </row>
    <row r="96" spans="2:19" ht="12.75">
      <c r="B96" s="12"/>
      <c r="C96" s="12"/>
      <c r="D96" s="12"/>
      <c r="E96" s="12"/>
      <c r="F96" s="12"/>
      <c r="G96" s="12"/>
      <c r="H96" s="12"/>
      <c r="I96" s="12"/>
      <c r="J96" s="12"/>
      <c r="K96" s="12"/>
      <c r="L96" s="12"/>
      <c r="M96" s="12"/>
      <c r="N96" s="12"/>
      <c r="O96" s="12"/>
      <c r="P96" s="12"/>
      <c r="Q96" s="12"/>
      <c r="R96" s="12"/>
      <c r="S96" s="12"/>
    </row>
    <row r="97" spans="2:19" ht="12.75">
      <c r="B97" s="12"/>
      <c r="C97" s="12"/>
      <c r="D97" s="12"/>
      <c r="E97" s="12"/>
      <c r="F97" s="12"/>
      <c r="G97" s="12"/>
      <c r="H97" s="12"/>
      <c r="I97" s="12"/>
      <c r="J97" s="12"/>
      <c r="K97" s="12"/>
      <c r="L97" s="12"/>
      <c r="M97" s="12"/>
      <c r="N97" s="12"/>
      <c r="O97" s="12"/>
      <c r="P97" s="12"/>
      <c r="Q97" s="12"/>
      <c r="R97" s="12"/>
      <c r="S97" s="12"/>
    </row>
    <row r="98" spans="2:19" ht="12.75">
      <c r="B98" s="12"/>
      <c r="C98" s="12"/>
      <c r="D98" s="12"/>
      <c r="E98" s="12"/>
      <c r="F98" s="12"/>
      <c r="G98" s="12"/>
      <c r="H98" s="12"/>
      <c r="I98" s="12"/>
      <c r="J98" s="12"/>
      <c r="K98" s="12"/>
      <c r="L98" s="12"/>
      <c r="M98" s="12"/>
      <c r="N98" s="12"/>
      <c r="O98" s="12"/>
      <c r="P98" s="12"/>
      <c r="Q98" s="12"/>
      <c r="R98" s="12"/>
      <c r="S98" s="12"/>
    </row>
    <row r="99" spans="2:19" ht="12.75">
      <c r="B99" s="12"/>
      <c r="C99" s="12"/>
      <c r="D99" s="12"/>
      <c r="E99" s="12"/>
      <c r="F99" s="12"/>
      <c r="G99" s="12"/>
      <c r="H99" s="12"/>
      <c r="I99" s="12"/>
      <c r="J99" s="12"/>
      <c r="K99" s="12"/>
      <c r="L99" s="12"/>
      <c r="M99" s="12"/>
      <c r="N99" s="12"/>
      <c r="O99" s="12"/>
      <c r="P99" s="12"/>
      <c r="Q99" s="12"/>
      <c r="R99" s="12"/>
      <c r="S99" s="12"/>
    </row>
    <row r="100" spans="2:19" ht="12.75">
      <c r="B100" s="12"/>
      <c r="C100" s="12"/>
      <c r="D100" s="12"/>
      <c r="E100" s="12"/>
      <c r="F100" s="12"/>
      <c r="G100" s="12"/>
      <c r="H100" s="12"/>
      <c r="I100" s="12"/>
      <c r="J100" s="12"/>
      <c r="K100" s="12"/>
      <c r="L100" s="12"/>
      <c r="M100" s="12"/>
      <c r="N100" s="12"/>
      <c r="O100" s="12"/>
      <c r="P100" s="12"/>
      <c r="Q100" s="12"/>
      <c r="R100" s="12"/>
      <c r="S100" s="12"/>
    </row>
    <row r="101" spans="2:19" ht="12.75">
      <c r="B101" s="12"/>
      <c r="C101" s="12"/>
      <c r="D101" s="12"/>
      <c r="E101" s="12"/>
      <c r="F101" s="12"/>
      <c r="G101" s="12"/>
      <c r="H101" s="12"/>
      <c r="I101" s="12"/>
      <c r="J101" s="12"/>
      <c r="K101" s="12"/>
      <c r="L101" s="12"/>
      <c r="M101" s="12"/>
      <c r="N101" s="12"/>
      <c r="O101" s="12"/>
      <c r="P101" s="12"/>
      <c r="Q101" s="12"/>
      <c r="R101" s="12"/>
      <c r="S101" s="12"/>
    </row>
    <row r="102" spans="2:19" ht="12.75">
      <c r="B102" s="12"/>
      <c r="C102" s="12"/>
      <c r="D102" s="12"/>
      <c r="E102" s="12"/>
      <c r="F102" s="12"/>
      <c r="G102" s="12"/>
      <c r="H102" s="12"/>
      <c r="I102" s="12"/>
      <c r="J102" s="12"/>
      <c r="K102" s="12"/>
      <c r="L102" s="12"/>
      <c r="M102" s="12"/>
      <c r="N102" s="12"/>
      <c r="O102" s="12"/>
      <c r="P102" s="12"/>
      <c r="Q102" s="12"/>
      <c r="R102" s="12"/>
      <c r="S102" s="12"/>
    </row>
    <row r="103" spans="2:19" ht="12.75">
      <c r="B103" s="12"/>
      <c r="C103" s="12"/>
      <c r="D103" s="12"/>
      <c r="E103" s="12"/>
      <c r="F103" s="12"/>
      <c r="G103" s="12"/>
      <c r="H103" s="12"/>
      <c r="I103" s="12"/>
      <c r="J103" s="12"/>
      <c r="K103" s="12"/>
      <c r="L103" s="12"/>
      <c r="M103" s="12"/>
      <c r="N103" s="12"/>
      <c r="O103" s="12"/>
      <c r="P103" s="12"/>
      <c r="Q103" s="12"/>
      <c r="R103" s="12"/>
      <c r="S103" s="12"/>
    </row>
  </sheetData>
  <printOptions horizontalCentered="1"/>
  <pageMargins left="0" right="0" top="0.3937007874015748" bottom="0.1968503937007874" header="0.5118110236220472" footer="0.5118110236220472"/>
  <pageSetup horizontalDpi="300" verticalDpi="300" orientation="landscape" paperSize="9" scale="63" r:id="rId1"/>
  <headerFooter alignWithMargins="0">
    <oddFooter>&amp;R&amp;A</oddFooter>
  </headerFooter>
</worksheet>
</file>

<file path=xl/worksheets/sheet14.xml><?xml version="1.0" encoding="utf-8"?>
<worksheet xmlns="http://schemas.openxmlformats.org/spreadsheetml/2006/main" xmlns:r="http://schemas.openxmlformats.org/officeDocument/2006/relationships">
  <sheetPr codeName="Blad13">
    <pageSetUpPr fitToPage="1"/>
  </sheetPr>
  <dimension ref="A1:I77"/>
  <sheetViews>
    <sheetView workbookViewId="0" topLeftCell="A1">
      <selection activeCell="H10" sqref="H10"/>
    </sheetView>
  </sheetViews>
  <sheetFormatPr defaultColWidth="9.140625" defaultRowHeight="12.75"/>
  <cols>
    <col min="1" max="1" width="32.140625" style="134" customWidth="1"/>
    <col min="2" max="8" width="9.421875" style="134" customWidth="1"/>
    <col min="9" max="16384" width="9.140625" style="134" customWidth="1"/>
  </cols>
  <sheetData>
    <row r="1" ht="12.75">
      <c r="A1" s="133" t="s">
        <v>81</v>
      </c>
    </row>
    <row r="2" spans="1:9" ht="12.75">
      <c r="A2" s="250" t="s">
        <v>20</v>
      </c>
      <c r="B2" s="250"/>
      <c r="C2" s="250"/>
      <c r="D2" s="250"/>
      <c r="E2" s="250"/>
      <c r="F2" s="250"/>
      <c r="G2" s="250"/>
      <c r="H2" s="250"/>
      <c r="I2" s="250"/>
    </row>
    <row r="3" spans="1:8" ht="12.75">
      <c r="A3" s="136"/>
      <c r="B3" s="137"/>
      <c r="C3" s="137"/>
      <c r="D3" s="137"/>
      <c r="E3" s="137"/>
      <c r="F3" s="137"/>
      <c r="G3" s="137"/>
      <c r="H3" s="137"/>
    </row>
    <row r="4" spans="1:9" ht="12.75">
      <c r="A4" s="250" t="s">
        <v>66</v>
      </c>
      <c r="B4" s="250"/>
      <c r="C4" s="250"/>
      <c r="D4" s="250"/>
      <c r="E4" s="250"/>
      <c r="F4" s="250"/>
      <c r="G4" s="250"/>
      <c r="H4" s="250"/>
      <c r="I4" s="250"/>
    </row>
    <row r="5" ht="13.5" thickBot="1">
      <c r="A5" s="135"/>
    </row>
    <row r="6" spans="1:9" ht="12.75">
      <c r="A6" s="138"/>
      <c r="B6" s="139"/>
      <c r="C6" s="139"/>
      <c r="D6" s="139"/>
      <c r="E6" s="139"/>
      <c r="F6" s="139"/>
      <c r="G6" s="139"/>
      <c r="H6" s="139"/>
      <c r="I6" s="139"/>
    </row>
    <row r="7" spans="1:9" s="142" customFormat="1" ht="12.75">
      <c r="A7" s="140"/>
      <c r="B7" s="141" t="s">
        <v>46</v>
      </c>
      <c r="C7" s="141" t="s">
        <v>47</v>
      </c>
      <c r="D7" s="141" t="s">
        <v>50</v>
      </c>
      <c r="E7" s="141" t="s">
        <v>51</v>
      </c>
      <c r="F7" s="141" t="s">
        <v>52</v>
      </c>
      <c r="G7" s="141" t="s">
        <v>53</v>
      </c>
      <c r="H7" s="141" t="s">
        <v>64</v>
      </c>
      <c r="I7" s="141" t="s">
        <v>83</v>
      </c>
    </row>
    <row r="8" spans="1:9" ht="12.75">
      <c r="A8" s="143"/>
      <c r="B8" s="144"/>
      <c r="C8" s="144"/>
      <c r="D8" s="144"/>
      <c r="E8" s="144"/>
      <c r="F8" s="144"/>
      <c r="G8" s="144"/>
      <c r="H8" s="144"/>
      <c r="I8" s="144"/>
    </row>
    <row r="9" spans="1:9" ht="12.75">
      <c r="A9" s="133"/>
      <c r="B9" s="145"/>
      <c r="C9" s="145"/>
      <c r="D9" s="145"/>
      <c r="E9" s="145"/>
      <c r="F9" s="145"/>
      <c r="G9" s="145"/>
      <c r="H9" s="145"/>
      <c r="I9" s="145"/>
    </row>
    <row r="10" spans="1:9" ht="12.75">
      <c r="A10" s="133" t="s">
        <v>7</v>
      </c>
      <c r="B10" s="144"/>
      <c r="C10" s="144"/>
      <c r="D10" s="144"/>
      <c r="E10" s="144"/>
      <c r="F10" s="144"/>
      <c r="G10" s="144"/>
      <c r="H10" s="144"/>
      <c r="I10" s="144"/>
    </row>
    <row r="11" spans="1:9" ht="12.75">
      <c r="A11" s="135" t="s">
        <v>18</v>
      </c>
      <c r="B11" s="146">
        <v>939</v>
      </c>
      <c r="C11" s="146">
        <v>2061</v>
      </c>
      <c r="D11" s="146">
        <v>2350</v>
      </c>
      <c r="E11" s="146">
        <v>2389</v>
      </c>
      <c r="F11" s="146">
        <v>3168</v>
      </c>
      <c r="G11" s="146">
        <v>3411</v>
      </c>
      <c r="H11" s="146">
        <v>3671</v>
      </c>
      <c r="I11" s="146">
        <v>3804</v>
      </c>
    </row>
    <row r="12" spans="1:9" ht="12.75">
      <c r="A12" s="135" t="s">
        <v>19</v>
      </c>
      <c r="B12" s="146">
        <f>1612+58+1239</f>
        <v>2909</v>
      </c>
      <c r="C12" s="146">
        <v>3441</v>
      </c>
      <c r="D12" s="146">
        <v>3160</v>
      </c>
      <c r="E12" s="146">
        <v>2943</v>
      </c>
      <c r="F12" s="146">
        <v>2211</v>
      </c>
      <c r="G12" s="146">
        <v>2005</v>
      </c>
      <c r="H12" s="146">
        <v>2110</v>
      </c>
      <c r="I12" s="146">
        <v>2156</v>
      </c>
    </row>
    <row r="13" spans="1:9" s="149" customFormat="1" ht="12.75">
      <c r="A13" s="147" t="s">
        <v>4</v>
      </c>
      <c r="B13" s="148">
        <f aca="true" t="shared" si="0" ref="B13:I13">SUM(B11:B12)</f>
        <v>3848</v>
      </c>
      <c r="C13" s="148">
        <f t="shared" si="0"/>
        <v>5502</v>
      </c>
      <c r="D13" s="148">
        <f t="shared" si="0"/>
        <v>5510</v>
      </c>
      <c r="E13" s="148">
        <f t="shared" si="0"/>
        <v>5332</v>
      </c>
      <c r="F13" s="148">
        <f t="shared" si="0"/>
        <v>5379</v>
      </c>
      <c r="G13" s="148">
        <f t="shared" si="0"/>
        <v>5416</v>
      </c>
      <c r="H13" s="148">
        <f t="shared" si="0"/>
        <v>5781</v>
      </c>
      <c r="I13" s="148">
        <f t="shared" si="0"/>
        <v>5960</v>
      </c>
    </row>
    <row r="14" spans="1:9" ht="12.75">
      <c r="A14" s="150"/>
      <c r="B14" s="146"/>
      <c r="C14" s="146"/>
      <c r="D14" s="146"/>
      <c r="E14" s="146"/>
      <c r="F14" s="146"/>
      <c r="G14" s="146"/>
      <c r="H14" s="146"/>
      <c r="I14" s="146"/>
    </row>
    <row r="15" spans="1:9" ht="12.75">
      <c r="A15" s="133" t="s">
        <v>11</v>
      </c>
      <c r="B15" s="146"/>
      <c r="C15" s="146"/>
      <c r="D15" s="146"/>
      <c r="E15" s="146"/>
      <c r="F15" s="146"/>
      <c r="G15" s="146"/>
      <c r="H15" s="146"/>
      <c r="I15" s="146"/>
    </row>
    <row r="16" spans="1:9" ht="12.75">
      <c r="A16" s="135" t="s">
        <v>18</v>
      </c>
      <c r="B16" s="146">
        <v>1595</v>
      </c>
      <c r="C16" s="146">
        <v>1780</v>
      </c>
      <c r="D16" s="146">
        <v>1842</v>
      </c>
      <c r="E16" s="146">
        <v>1925</v>
      </c>
      <c r="F16" s="146">
        <v>2002</v>
      </c>
      <c r="G16" s="146">
        <v>2039</v>
      </c>
      <c r="H16" s="146">
        <v>1604</v>
      </c>
      <c r="I16" s="146">
        <v>1627</v>
      </c>
    </row>
    <row r="17" spans="1:9" ht="12.75">
      <c r="A17" s="135" t="s">
        <v>19</v>
      </c>
      <c r="B17" s="146">
        <f>937+2+121</f>
        <v>1060</v>
      </c>
      <c r="C17" s="146">
        <v>1094</v>
      </c>
      <c r="D17" s="146">
        <v>1189</v>
      </c>
      <c r="E17" s="146">
        <v>1158</v>
      </c>
      <c r="F17" s="146">
        <v>1171</v>
      </c>
      <c r="G17" s="146">
        <v>1206</v>
      </c>
      <c r="H17" s="146">
        <v>941</v>
      </c>
      <c r="I17" s="146">
        <v>977</v>
      </c>
    </row>
    <row r="18" spans="1:9" s="149" customFormat="1" ht="12.75">
      <c r="A18" s="147" t="s">
        <v>4</v>
      </c>
      <c r="B18" s="148">
        <f aca="true" t="shared" si="1" ref="B18:I18">SUM(B16:B17)</f>
        <v>2655</v>
      </c>
      <c r="C18" s="148">
        <f t="shared" si="1"/>
        <v>2874</v>
      </c>
      <c r="D18" s="148">
        <f t="shared" si="1"/>
        <v>3031</v>
      </c>
      <c r="E18" s="148">
        <f t="shared" si="1"/>
        <v>3083</v>
      </c>
      <c r="F18" s="148">
        <f t="shared" si="1"/>
        <v>3173</v>
      </c>
      <c r="G18" s="148">
        <f t="shared" si="1"/>
        <v>3245</v>
      </c>
      <c r="H18" s="148">
        <f t="shared" si="1"/>
        <v>2545</v>
      </c>
      <c r="I18" s="148">
        <f t="shared" si="1"/>
        <v>2604</v>
      </c>
    </row>
    <row r="19" spans="1:9" ht="12.75">
      <c r="A19" s="135"/>
      <c r="B19" s="146"/>
      <c r="C19" s="146"/>
      <c r="D19" s="146"/>
      <c r="E19" s="146"/>
      <c r="F19" s="146"/>
      <c r="G19" s="146"/>
      <c r="H19" s="146"/>
      <c r="I19" s="146"/>
    </row>
    <row r="20" spans="1:9" ht="12.75">
      <c r="A20" s="133" t="s">
        <v>12</v>
      </c>
      <c r="B20" s="146"/>
      <c r="C20" s="146"/>
      <c r="D20" s="146"/>
      <c r="E20" s="146"/>
      <c r="F20" s="146"/>
      <c r="G20" s="146"/>
      <c r="H20" s="146"/>
      <c r="I20" s="146"/>
    </row>
    <row r="21" spans="1:9" ht="12.75">
      <c r="A21" s="135" t="s">
        <v>18</v>
      </c>
      <c r="B21" s="146">
        <v>5910</v>
      </c>
      <c r="C21" s="146">
        <v>5841</v>
      </c>
      <c r="D21" s="146">
        <v>5905</v>
      </c>
      <c r="E21" s="146">
        <v>5898</v>
      </c>
      <c r="F21" s="146">
        <v>5824</v>
      </c>
      <c r="G21" s="146">
        <v>5788</v>
      </c>
      <c r="H21" s="146">
        <v>5729</v>
      </c>
      <c r="I21" s="146">
        <v>5680</v>
      </c>
    </row>
    <row r="22" spans="1:9" ht="12.75">
      <c r="A22" s="135" t="s">
        <v>19</v>
      </c>
      <c r="B22" s="146">
        <f>2212+32</f>
        <v>2244</v>
      </c>
      <c r="C22" s="146">
        <v>2234</v>
      </c>
      <c r="D22" s="146">
        <v>2110</v>
      </c>
      <c r="E22" s="146">
        <v>1982</v>
      </c>
      <c r="F22" s="146">
        <v>2085</v>
      </c>
      <c r="G22" s="146">
        <v>2195</v>
      </c>
      <c r="H22" s="146">
        <v>2209</v>
      </c>
      <c r="I22" s="146">
        <v>2222</v>
      </c>
    </row>
    <row r="23" spans="1:9" s="149" customFormat="1" ht="12.75">
      <c r="A23" s="147" t="s">
        <v>4</v>
      </c>
      <c r="B23" s="148">
        <f aca="true" t="shared" si="2" ref="B23:I23">SUM(B21:B22)</f>
        <v>8154</v>
      </c>
      <c r="C23" s="148">
        <f t="shared" si="2"/>
        <v>8075</v>
      </c>
      <c r="D23" s="148">
        <f t="shared" si="2"/>
        <v>8015</v>
      </c>
      <c r="E23" s="148">
        <f t="shared" si="2"/>
        <v>7880</v>
      </c>
      <c r="F23" s="148">
        <f t="shared" si="2"/>
        <v>7909</v>
      </c>
      <c r="G23" s="148">
        <f t="shared" si="2"/>
        <v>7983</v>
      </c>
      <c r="H23" s="148">
        <f t="shared" si="2"/>
        <v>7938</v>
      </c>
      <c r="I23" s="148">
        <f t="shared" si="2"/>
        <v>7902</v>
      </c>
    </row>
    <row r="24" spans="1:9" ht="12.75">
      <c r="A24" s="150"/>
      <c r="B24" s="146"/>
      <c r="C24" s="146"/>
      <c r="D24" s="146"/>
      <c r="E24" s="146"/>
      <c r="F24" s="146"/>
      <c r="G24" s="146"/>
      <c r="H24" s="146"/>
      <c r="I24" s="146"/>
    </row>
    <row r="25" spans="1:9" ht="12.75">
      <c r="A25" s="133" t="s">
        <v>13</v>
      </c>
      <c r="B25" s="146"/>
      <c r="C25" s="146"/>
      <c r="D25" s="146"/>
      <c r="E25" s="146"/>
      <c r="F25" s="146"/>
      <c r="G25" s="146"/>
      <c r="H25" s="146"/>
      <c r="I25" s="146"/>
    </row>
    <row r="26" spans="1:9" ht="12.75">
      <c r="A26" s="135" t="s">
        <v>18</v>
      </c>
      <c r="B26" s="146">
        <v>616</v>
      </c>
      <c r="C26" s="146">
        <v>621</v>
      </c>
      <c r="D26" s="146">
        <v>631</v>
      </c>
      <c r="E26" s="146">
        <v>683</v>
      </c>
      <c r="F26" s="146">
        <v>711</v>
      </c>
      <c r="G26" s="146">
        <v>741</v>
      </c>
      <c r="H26" s="146">
        <v>759</v>
      </c>
      <c r="I26" s="146">
        <v>779</v>
      </c>
    </row>
    <row r="27" spans="1:9" ht="12.75">
      <c r="A27" s="135" t="s">
        <v>19</v>
      </c>
      <c r="B27" s="146">
        <f>307+14</f>
        <v>321</v>
      </c>
      <c r="C27" s="146">
        <v>345</v>
      </c>
      <c r="D27" s="146">
        <v>344</v>
      </c>
      <c r="E27" s="146">
        <v>389</v>
      </c>
      <c r="F27" s="146">
        <v>433</v>
      </c>
      <c r="G27" s="146">
        <v>473</v>
      </c>
      <c r="H27" s="146">
        <v>472</v>
      </c>
      <c r="I27" s="146">
        <v>485</v>
      </c>
    </row>
    <row r="28" spans="1:9" s="149" customFormat="1" ht="12.75">
      <c r="A28" s="147" t="s">
        <v>4</v>
      </c>
      <c r="B28" s="148">
        <f aca="true" t="shared" si="3" ref="B28:I28">SUM(B26:B27)</f>
        <v>937</v>
      </c>
      <c r="C28" s="148">
        <f t="shared" si="3"/>
        <v>966</v>
      </c>
      <c r="D28" s="148">
        <f t="shared" si="3"/>
        <v>975</v>
      </c>
      <c r="E28" s="148">
        <f t="shared" si="3"/>
        <v>1072</v>
      </c>
      <c r="F28" s="148">
        <f t="shared" si="3"/>
        <v>1144</v>
      </c>
      <c r="G28" s="148">
        <f t="shared" si="3"/>
        <v>1214</v>
      </c>
      <c r="H28" s="148">
        <f t="shared" si="3"/>
        <v>1231</v>
      </c>
      <c r="I28" s="148">
        <f t="shared" si="3"/>
        <v>1264</v>
      </c>
    </row>
    <row r="29" spans="1:9" s="149" customFormat="1" ht="12.75">
      <c r="A29" s="147"/>
      <c r="B29" s="151"/>
      <c r="C29" s="151"/>
      <c r="D29" s="151"/>
      <c r="E29" s="151"/>
      <c r="F29" s="151"/>
      <c r="G29" s="151"/>
      <c r="H29" s="151"/>
      <c r="I29" s="151"/>
    </row>
    <row r="30" spans="1:9" ht="12.75">
      <c r="A30" s="133" t="s">
        <v>113</v>
      </c>
      <c r="B30" s="146"/>
      <c r="C30" s="146"/>
      <c r="D30" s="146"/>
      <c r="E30" s="146"/>
      <c r="F30" s="146"/>
      <c r="G30" s="146"/>
      <c r="H30" s="146"/>
      <c r="I30" s="146"/>
    </row>
    <row r="31" spans="1:9" ht="12.75">
      <c r="A31" s="135" t="s">
        <v>18</v>
      </c>
      <c r="B31" s="146"/>
      <c r="C31" s="146"/>
      <c r="D31" s="146"/>
      <c r="E31" s="146"/>
      <c r="F31" s="146"/>
      <c r="G31" s="146"/>
      <c r="H31" s="146"/>
      <c r="I31" s="146">
        <v>15</v>
      </c>
    </row>
    <row r="32" spans="1:9" ht="12.75">
      <c r="A32" s="135" t="s">
        <v>19</v>
      </c>
      <c r="B32" s="146"/>
      <c r="C32" s="146"/>
      <c r="D32" s="146"/>
      <c r="E32" s="146"/>
      <c r="F32" s="146"/>
      <c r="G32" s="146"/>
      <c r="H32" s="146"/>
      <c r="I32" s="146">
        <v>8</v>
      </c>
    </row>
    <row r="33" spans="1:9" s="149" customFormat="1" ht="12.75">
      <c r="A33" s="147" t="s">
        <v>4</v>
      </c>
      <c r="B33" s="148"/>
      <c r="C33" s="148"/>
      <c r="D33" s="148"/>
      <c r="E33" s="148"/>
      <c r="F33" s="148"/>
      <c r="G33" s="148"/>
      <c r="H33" s="236"/>
      <c r="I33" s="148">
        <f>SUM(I31:I32)</f>
        <v>23</v>
      </c>
    </row>
    <row r="34" spans="1:9" ht="12.75">
      <c r="A34" s="135"/>
      <c r="B34" s="146"/>
      <c r="C34" s="146"/>
      <c r="D34" s="146"/>
      <c r="E34" s="146"/>
      <c r="F34" s="146"/>
      <c r="G34" s="146"/>
      <c r="H34" s="146"/>
      <c r="I34" s="146"/>
    </row>
    <row r="35" spans="1:9" ht="12.75">
      <c r="A35" s="133" t="s">
        <v>14</v>
      </c>
      <c r="B35" s="146"/>
      <c r="C35" s="146"/>
      <c r="D35" s="146"/>
      <c r="E35" s="146"/>
      <c r="F35" s="146"/>
      <c r="G35" s="146"/>
      <c r="H35" s="146"/>
      <c r="I35" s="146"/>
    </row>
    <row r="36" spans="1:9" ht="12.75">
      <c r="A36" s="135" t="s">
        <v>18</v>
      </c>
      <c r="B36" s="146">
        <v>1223</v>
      </c>
      <c r="C36" s="146">
        <v>1244</v>
      </c>
      <c r="D36" s="146">
        <v>1302</v>
      </c>
      <c r="E36" s="146">
        <v>1326</v>
      </c>
      <c r="F36" s="146">
        <v>1375</v>
      </c>
      <c r="G36" s="146">
        <v>1454</v>
      </c>
      <c r="H36" s="146">
        <v>1517</v>
      </c>
      <c r="I36" s="146">
        <v>1554</v>
      </c>
    </row>
    <row r="37" spans="1:9" ht="12.75">
      <c r="A37" s="135" t="s">
        <v>19</v>
      </c>
      <c r="B37" s="146">
        <v>556</v>
      </c>
      <c r="C37" s="146">
        <v>596</v>
      </c>
      <c r="D37" s="146">
        <v>606</v>
      </c>
      <c r="E37" s="146">
        <v>637</v>
      </c>
      <c r="F37" s="146">
        <v>683</v>
      </c>
      <c r="G37" s="146">
        <v>737</v>
      </c>
      <c r="H37" s="146">
        <v>800</v>
      </c>
      <c r="I37" s="146">
        <v>892</v>
      </c>
    </row>
    <row r="38" spans="1:9" s="149" customFormat="1" ht="12.75">
      <c r="A38" s="147" t="s">
        <v>4</v>
      </c>
      <c r="B38" s="148">
        <f aca="true" t="shared" si="4" ref="B38:I38">SUM(B36:B37)</f>
        <v>1779</v>
      </c>
      <c r="C38" s="148">
        <f t="shared" si="4"/>
        <v>1840</v>
      </c>
      <c r="D38" s="148">
        <f t="shared" si="4"/>
        <v>1908</v>
      </c>
      <c r="E38" s="148">
        <f t="shared" si="4"/>
        <v>1963</v>
      </c>
      <c r="F38" s="148">
        <f t="shared" si="4"/>
        <v>2058</v>
      </c>
      <c r="G38" s="148">
        <f t="shared" si="4"/>
        <v>2191</v>
      </c>
      <c r="H38" s="148">
        <f t="shared" si="4"/>
        <v>2317</v>
      </c>
      <c r="I38" s="148">
        <f t="shared" si="4"/>
        <v>2446</v>
      </c>
    </row>
    <row r="39" spans="1:9" s="149" customFormat="1" ht="12.75">
      <c r="A39" s="147"/>
      <c r="B39" s="151"/>
      <c r="C39" s="151"/>
      <c r="D39" s="151"/>
      <c r="E39" s="151"/>
      <c r="F39" s="151"/>
      <c r="G39" s="151"/>
      <c r="H39" s="151"/>
      <c r="I39" s="151"/>
    </row>
    <row r="40" spans="1:9" s="45" customFormat="1" ht="12.75">
      <c r="A40" s="1" t="s">
        <v>68</v>
      </c>
      <c r="B40" s="54"/>
      <c r="C40" s="54"/>
      <c r="D40" s="54"/>
      <c r="E40" s="54"/>
      <c r="F40" s="54"/>
      <c r="G40" s="54"/>
      <c r="H40" s="54"/>
      <c r="I40" s="54"/>
    </row>
    <row r="41" spans="1:9" s="45" customFormat="1" ht="12.75">
      <c r="A41" s="46" t="s">
        <v>18</v>
      </c>
      <c r="B41" s="54"/>
      <c r="C41" s="54"/>
      <c r="D41" s="54"/>
      <c r="E41" s="54"/>
      <c r="F41" s="54"/>
      <c r="G41" s="54"/>
      <c r="H41" s="54">
        <v>0</v>
      </c>
      <c r="I41" s="54">
        <v>0</v>
      </c>
    </row>
    <row r="42" spans="1:9" s="45" customFormat="1" ht="12.75">
      <c r="A42" s="46" t="s">
        <v>19</v>
      </c>
      <c r="B42" s="54"/>
      <c r="C42" s="54"/>
      <c r="D42" s="54"/>
      <c r="E42" s="54"/>
      <c r="F42" s="54"/>
      <c r="G42" s="54"/>
      <c r="H42" s="54">
        <v>73</v>
      </c>
      <c r="I42" s="54">
        <v>76</v>
      </c>
    </row>
    <row r="43" spans="1:9" s="45" customFormat="1" ht="12.75">
      <c r="A43" s="55" t="s">
        <v>4</v>
      </c>
      <c r="B43" s="233"/>
      <c r="C43" s="233"/>
      <c r="D43" s="233"/>
      <c r="E43" s="233"/>
      <c r="F43" s="233"/>
      <c r="G43" s="234"/>
      <c r="H43" s="56">
        <f>H41+H42</f>
        <v>73</v>
      </c>
      <c r="I43" s="56">
        <f>I41+I42</f>
        <v>76</v>
      </c>
    </row>
    <row r="44" spans="1:9" s="45" customFormat="1" ht="12.75">
      <c r="A44" s="55"/>
      <c r="B44" s="54"/>
      <c r="C44" s="54"/>
      <c r="D44" s="54"/>
      <c r="E44" s="54"/>
      <c r="F44" s="54"/>
      <c r="G44" s="54"/>
      <c r="H44" s="216"/>
      <c r="I44" s="216"/>
    </row>
    <row r="45" spans="1:9" ht="12.75">
      <c r="A45" s="1" t="s">
        <v>61</v>
      </c>
      <c r="B45" s="146"/>
      <c r="C45" s="146"/>
      <c r="D45" s="146"/>
      <c r="E45" s="146"/>
      <c r="F45" s="146"/>
      <c r="G45" s="146"/>
      <c r="H45" s="146"/>
      <c r="I45" s="146"/>
    </row>
    <row r="46" spans="1:9" ht="12.75">
      <c r="A46" s="135" t="s">
        <v>18</v>
      </c>
      <c r="B46" s="146">
        <v>144</v>
      </c>
      <c r="C46" s="146">
        <v>180</v>
      </c>
      <c r="D46" s="146">
        <v>225</v>
      </c>
      <c r="E46" s="146">
        <v>238</v>
      </c>
      <c r="F46" s="146">
        <v>255</v>
      </c>
      <c r="G46" s="146">
        <v>268</v>
      </c>
      <c r="H46" s="146">
        <v>298</v>
      </c>
      <c r="I46" s="146">
        <v>318</v>
      </c>
    </row>
    <row r="47" spans="1:9" ht="12.75">
      <c r="A47" s="135" t="s">
        <v>19</v>
      </c>
      <c r="B47" s="146">
        <f>213+4</f>
        <v>217</v>
      </c>
      <c r="C47" s="146">
        <v>192</v>
      </c>
      <c r="D47" s="146">
        <v>176</v>
      </c>
      <c r="E47" s="146">
        <v>163</v>
      </c>
      <c r="F47" s="146">
        <v>160</v>
      </c>
      <c r="G47" s="146">
        <v>287</v>
      </c>
      <c r="H47" s="146">
        <v>281</v>
      </c>
      <c r="I47" s="146">
        <v>298</v>
      </c>
    </row>
    <row r="48" spans="1:9" s="149" customFormat="1" ht="12.75">
      <c r="A48" s="147" t="s">
        <v>4</v>
      </c>
      <c r="B48" s="148">
        <f aca="true" t="shared" si="5" ref="B48:I48">SUM(B46:B47)</f>
        <v>361</v>
      </c>
      <c r="C48" s="148">
        <f t="shared" si="5"/>
        <v>372</v>
      </c>
      <c r="D48" s="148">
        <f t="shared" si="5"/>
        <v>401</v>
      </c>
      <c r="E48" s="148">
        <f t="shared" si="5"/>
        <v>401</v>
      </c>
      <c r="F48" s="148">
        <f t="shared" si="5"/>
        <v>415</v>
      </c>
      <c r="G48" s="148">
        <f t="shared" si="5"/>
        <v>555</v>
      </c>
      <c r="H48" s="148">
        <f t="shared" si="5"/>
        <v>579</v>
      </c>
      <c r="I48" s="148">
        <f t="shared" si="5"/>
        <v>616</v>
      </c>
    </row>
    <row r="49" spans="1:9" ht="12.75">
      <c r="A49" s="135"/>
      <c r="B49" s="146"/>
      <c r="C49" s="146"/>
      <c r="D49" s="146"/>
      <c r="E49" s="146"/>
      <c r="F49" s="146"/>
      <c r="G49" s="146"/>
      <c r="H49" s="146"/>
      <c r="I49" s="146"/>
    </row>
    <row r="50" spans="1:9" ht="12.75">
      <c r="A50" s="1" t="s">
        <v>62</v>
      </c>
      <c r="B50" s="146"/>
      <c r="C50" s="146"/>
      <c r="D50" s="146"/>
      <c r="E50" s="146"/>
      <c r="F50" s="146"/>
      <c r="G50" s="146"/>
      <c r="H50" s="146"/>
      <c r="I50" s="146"/>
    </row>
    <row r="51" spans="1:9" ht="12.75">
      <c r="A51" s="135" t="s">
        <v>18</v>
      </c>
      <c r="B51" s="146">
        <v>12</v>
      </c>
      <c r="C51" s="146">
        <v>14</v>
      </c>
      <c r="D51" s="146">
        <v>16</v>
      </c>
      <c r="E51" s="146">
        <v>19</v>
      </c>
      <c r="F51" s="146">
        <v>20</v>
      </c>
      <c r="G51" s="146">
        <v>22</v>
      </c>
      <c r="H51" s="146">
        <v>23</v>
      </c>
      <c r="I51" s="146">
        <v>27</v>
      </c>
    </row>
    <row r="52" spans="1:9" ht="12.75">
      <c r="A52" s="135" t="s">
        <v>19</v>
      </c>
      <c r="B52" s="146">
        <v>20</v>
      </c>
      <c r="C52" s="146">
        <v>19</v>
      </c>
      <c r="D52" s="146">
        <v>19</v>
      </c>
      <c r="E52" s="146">
        <v>15</v>
      </c>
      <c r="F52" s="146">
        <v>17</v>
      </c>
      <c r="G52" s="146">
        <v>21</v>
      </c>
      <c r="H52" s="146">
        <v>24</v>
      </c>
      <c r="I52" s="146">
        <v>21</v>
      </c>
    </row>
    <row r="53" spans="1:9" s="149" customFormat="1" ht="12.75">
      <c r="A53" s="147" t="s">
        <v>4</v>
      </c>
      <c r="B53" s="148">
        <f aca="true" t="shared" si="6" ref="B53:I53">SUM(B51:B52)</f>
        <v>32</v>
      </c>
      <c r="C53" s="148">
        <f t="shared" si="6"/>
        <v>33</v>
      </c>
      <c r="D53" s="148">
        <f t="shared" si="6"/>
        <v>35</v>
      </c>
      <c r="E53" s="148">
        <f t="shared" si="6"/>
        <v>34</v>
      </c>
      <c r="F53" s="148">
        <f t="shared" si="6"/>
        <v>37</v>
      </c>
      <c r="G53" s="148">
        <f t="shared" si="6"/>
        <v>43</v>
      </c>
      <c r="H53" s="148">
        <f t="shared" si="6"/>
        <v>47</v>
      </c>
      <c r="I53" s="148">
        <f t="shared" si="6"/>
        <v>48</v>
      </c>
    </row>
    <row r="54" spans="1:9" s="149" customFormat="1" ht="12.75">
      <c r="A54" s="147"/>
      <c r="B54" s="151"/>
      <c r="C54" s="151"/>
      <c r="D54" s="151"/>
      <c r="E54" s="151"/>
      <c r="F54" s="151"/>
      <c r="G54" s="151"/>
      <c r="H54" s="151"/>
      <c r="I54" s="151"/>
    </row>
    <row r="55" spans="1:9" ht="12.75">
      <c r="A55" s="133" t="s">
        <v>15</v>
      </c>
      <c r="B55" s="146"/>
      <c r="C55" s="146"/>
      <c r="D55" s="146"/>
      <c r="E55" s="146"/>
      <c r="F55" s="146"/>
      <c r="G55" s="146"/>
      <c r="H55" s="146"/>
      <c r="I55" s="146"/>
    </row>
    <row r="56" spans="1:9" ht="12.75">
      <c r="A56" s="135" t="s">
        <v>18</v>
      </c>
      <c r="B56" s="146">
        <v>157</v>
      </c>
      <c r="C56" s="146">
        <v>147</v>
      </c>
      <c r="D56" s="146">
        <v>143</v>
      </c>
      <c r="E56" s="146">
        <v>158</v>
      </c>
      <c r="F56" s="146">
        <v>160</v>
      </c>
      <c r="G56" s="146">
        <v>152</v>
      </c>
      <c r="H56" s="146">
        <v>186</v>
      </c>
      <c r="I56" s="146">
        <v>192</v>
      </c>
    </row>
    <row r="57" spans="1:9" ht="12.75">
      <c r="A57" s="135" t="s">
        <v>19</v>
      </c>
      <c r="B57" s="146">
        <v>80</v>
      </c>
      <c r="C57" s="146">
        <v>84</v>
      </c>
      <c r="D57" s="146">
        <v>91</v>
      </c>
      <c r="E57" s="146">
        <v>98</v>
      </c>
      <c r="F57" s="146">
        <v>86</v>
      </c>
      <c r="G57" s="146">
        <v>164</v>
      </c>
      <c r="H57" s="146">
        <v>142</v>
      </c>
      <c r="I57" s="146">
        <v>140</v>
      </c>
    </row>
    <row r="58" spans="1:9" s="149" customFormat="1" ht="12.75">
      <c r="A58" s="147" t="s">
        <v>4</v>
      </c>
      <c r="B58" s="148">
        <f aca="true" t="shared" si="7" ref="B58:I58">SUM(B56:B57)</f>
        <v>237</v>
      </c>
      <c r="C58" s="148">
        <f t="shared" si="7"/>
        <v>231</v>
      </c>
      <c r="D58" s="148">
        <f t="shared" si="7"/>
        <v>234</v>
      </c>
      <c r="E58" s="148">
        <f t="shared" si="7"/>
        <v>256</v>
      </c>
      <c r="F58" s="148">
        <f t="shared" si="7"/>
        <v>246</v>
      </c>
      <c r="G58" s="148">
        <f t="shared" si="7"/>
        <v>316</v>
      </c>
      <c r="H58" s="148">
        <f t="shared" si="7"/>
        <v>328</v>
      </c>
      <c r="I58" s="148">
        <f t="shared" si="7"/>
        <v>332</v>
      </c>
    </row>
    <row r="59" spans="1:9" s="149" customFormat="1" ht="12.75">
      <c r="A59" s="147"/>
      <c r="B59" s="151"/>
      <c r="C59" s="151"/>
      <c r="D59" s="151"/>
      <c r="E59" s="151"/>
      <c r="F59" s="151"/>
      <c r="G59" s="151"/>
      <c r="H59" s="151"/>
      <c r="I59" s="151"/>
    </row>
    <row r="60" spans="1:9" ht="12.75">
      <c r="A60" s="133" t="s">
        <v>42</v>
      </c>
      <c r="B60" s="146"/>
      <c r="C60" s="146"/>
      <c r="D60" s="146"/>
      <c r="E60" s="146"/>
      <c r="F60" s="146"/>
      <c r="G60" s="146"/>
      <c r="H60" s="146"/>
      <c r="I60" s="146"/>
    </row>
    <row r="61" spans="1:9" ht="12.75">
      <c r="A61" s="135" t="s">
        <v>18</v>
      </c>
      <c r="B61" s="146">
        <v>2838</v>
      </c>
      <c r="C61" s="146">
        <v>2948</v>
      </c>
      <c r="D61" s="146">
        <v>3032</v>
      </c>
      <c r="E61" s="146">
        <v>3170</v>
      </c>
      <c r="F61" s="146">
        <v>3284</v>
      </c>
      <c r="G61" s="146">
        <v>3346</v>
      </c>
      <c r="H61" s="146">
        <v>4118</v>
      </c>
      <c r="I61" s="146">
        <v>4110</v>
      </c>
    </row>
    <row r="62" spans="1:9" ht="12.75">
      <c r="A62" s="135" t="s">
        <v>19</v>
      </c>
      <c r="B62" s="146">
        <f>1208+216+9</f>
        <v>1433</v>
      </c>
      <c r="C62" s="146">
        <v>1458</v>
      </c>
      <c r="D62" s="146">
        <v>1366</v>
      </c>
      <c r="E62" s="146">
        <v>1510</v>
      </c>
      <c r="F62" s="146">
        <v>1463</v>
      </c>
      <c r="G62" s="146">
        <v>1414</v>
      </c>
      <c r="H62" s="146">
        <v>1965</v>
      </c>
      <c r="I62" s="146">
        <v>2113</v>
      </c>
    </row>
    <row r="63" spans="1:9" s="149" customFormat="1" ht="12.75">
      <c r="A63" s="147" t="s">
        <v>4</v>
      </c>
      <c r="B63" s="148">
        <f aca="true" t="shared" si="8" ref="B63:I63">SUM(B61:B62)</f>
        <v>4271</v>
      </c>
      <c r="C63" s="148">
        <f t="shared" si="8"/>
        <v>4406</v>
      </c>
      <c r="D63" s="148">
        <f t="shared" si="8"/>
        <v>4398</v>
      </c>
      <c r="E63" s="148">
        <f t="shared" si="8"/>
        <v>4680</v>
      </c>
      <c r="F63" s="148">
        <f t="shared" si="8"/>
        <v>4747</v>
      </c>
      <c r="G63" s="148">
        <f t="shared" si="8"/>
        <v>4760</v>
      </c>
      <c r="H63" s="148">
        <f t="shared" si="8"/>
        <v>6083</v>
      </c>
      <c r="I63" s="148">
        <f t="shared" si="8"/>
        <v>6223</v>
      </c>
    </row>
    <row r="64" spans="1:9" ht="12.75">
      <c r="A64" s="147"/>
      <c r="B64" s="146"/>
      <c r="C64" s="146"/>
      <c r="D64" s="146"/>
      <c r="E64" s="146"/>
      <c r="F64" s="146"/>
      <c r="G64" s="146"/>
      <c r="H64" s="146"/>
      <c r="I64" s="146"/>
    </row>
    <row r="65" spans="1:9" ht="12.75">
      <c r="A65" s="194"/>
      <c r="B65" s="195"/>
      <c r="C65" s="195"/>
      <c r="D65" s="195"/>
      <c r="E65" s="195"/>
      <c r="F65" s="195"/>
      <c r="G65" s="195"/>
      <c r="H65" s="195"/>
      <c r="I65" s="195"/>
    </row>
    <row r="66" spans="1:9" ht="12.75">
      <c r="A66" s="152" t="s">
        <v>73</v>
      </c>
      <c r="B66" s="146"/>
      <c r="C66" s="146"/>
      <c r="D66" s="146"/>
      <c r="E66" s="146"/>
      <c r="F66" s="146"/>
      <c r="G66" s="146"/>
      <c r="H66" s="146"/>
      <c r="I66" s="146"/>
    </row>
    <row r="67" spans="1:9" ht="12.75">
      <c r="A67" s="135" t="s">
        <v>18</v>
      </c>
      <c r="B67" s="146">
        <f aca="true" t="shared" si="9" ref="B67:H68">SUM(B11,B16,B21,B26,B36,B46,B51,B56,B61)</f>
        <v>13434</v>
      </c>
      <c r="C67" s="146">
        <f t="shared" si="9"/>
        <v>14836</v>
      </c>
      <c r="D67" s="146">
        <f t="shared" si="9"/>
        <v>15446</v>
      </c>
      <c r="E67" s="146">
        <f t="shared" si="9"/>
        <v>15806</v>
      </c>
      <c r="F67" s="146">
        <f t="shared" si="9"/>
        <v>16799</v>
      </c>
      <c r="G67" s="146">
        <f t="shared" si="9"/>
        <v>17221</v>
      </c>
      <c r="H67" s="146">
        <f t="shared" si="9"/>
        <v>17905</v>
      </c>
      <c r="I67" s="146">
        <f>SUM(I11,I16,I21,I26,I31,I36,I46,I51,I56,I61)</f>
        <v>18106</v>
      </c>
    </row>
    <row r="68" spans="1:9" ht="12.75">
      <c r="A68" s="135" t="s">
        <v>19</v>
      </c>
      <c r="B68" s="146">
        <f t="shared" si="9"/>
        <v>8840</v>
      </c>
      <c r="C68" s="146">
        <f t="shared" si="9"/>
        <v>9463</v>
      </c>
      <c r="D68" s="146">
        <f t="shared" si="9"/>
        <v>9061</v>
      </c>
      <c r="E68" s="146">
        <f t="shared" si="9"/>
        <v>8895</v>
      </c>
      <c r="F68" s="146">
        <f t="shared" si="9"/>
        <v>8309</v>
      </c>
      <c r="G68" s="146">
        <f t="shared" si="9"/>
        <v>8502</v>
      </c>
      <c r="H68" s="146">
        <f t="shared" si="9"/>
        <v>8944</v>
      </c>
      <c r="I68" s="146">
        <f>SUM(I12,I17,I22,I27,I32,I37,I47,I52,I57,I62)</f>
        <v>9312</v>
      </c>
    </row>
    <row r="69" spans="1:9" s="149" customFormat="1" ht="12.75">
      <c r="A69" s="147" t="s">
        <v>4</v>
      </c>
      <c r="B69" s="148">
        <f aca="true" t="shared" si="10" ref="B69:I69">SUM(B67:B68)</f>
        <v>22274</v>
      </c>
      <c r="C69" s="148">
        <f t="shared" si="10"/>
        <v>24299</v>
      </c>
      <c r="D69" s="148">
        <f t="shared" si="10"/>
        <v>24507</v>
      </c>
      <c r="E69" s="148">
        <f t="shared" si="10"/>
        <v>24701</v>
      </c>
      <c r="F69" s="148">
        <f t="shared" si="10"/>
        <v>25108</v>
      </c>
      <c r="G69" s="148">
        <f t="shared" si="10"/>
        <v>25723</v>
      </c>
      <c r="H69" s="148">
        <f t="shared" si="10"/>
        <v>26849</v>
      </c>
      <c r="I69" s="148">
        <f t="shared" si="10"/>
        <v>27418</v>
      </c>
    </row>
    <row r="70" spans="1:9" s="229" customFormat="1" ht="8.25" customHeight="1">
      <c r="A70" s="224"/>
      <c r="B70" s="37"/>
      <c r="C70" s="214"/>
      <c r="D70" s="214"/>
      <c r="E70" s="214"/>
      <c r="F70" s="214"/>
      <c r="G70" s="215"/>
      <c r="H70" s="37"/>
      <c r="I70" s="37"/>
    </row>
    <row r="71" spans="1:9" s="28" customFormat="1" ht="12.75">
      <c r="A71" s="43" t="s">
        <v>120</v>
      </c>
      <c r="B71" s="37"/>
      <c r="C71" s="214"/>
      <c r="D71" s="214"/>
      <c r="E71" s="214"/>
      <c r="F71" s="214"/>
      <c r="G71" s="215"/>
      <c r="H71" s="37"/>
      <c r="I71" s="37"/>
    </row>
    <row r="72" spans="1:9" s="28" customFormat="1" ht="12.75">
      <c r="A72" s="29" t="s">
        <v>18</v>
      </c>
      <c r="B72" s="225"/>
      <c r="C72"/>
      <c r="D72"/>
      <c r="E72"/>
      <c r="F72"/>
      <c r="G72"/>
      <c r="H72" s="37">
        <f>SUM(H11,H16,H21,H26,H36,H46,H51,H56,H61,H41)</f>
        <v>17905</v>
      </c>
      <c r="I72" s="37">
        <f>SUM(I11,I16,I21,I26,I31,I36,I46,I51,I56,I61,I41)</f>
        <v>18106</v>
      </c>
    </row>
    <row r="73" spans="1:9" s="28" customFormat="1" ht="12.75">
      <c r="A73" s="29" t="s">
        <v>19</v>
      </c>
      <c r="B73" s="225"/>
      <c r="C73"/>
      <c r="D73"/>
      <c r="E73"/>
      <c r="F73"/>
      <c r="G73"/>
      <c r="H73" s="37">
        <f>SUM(H12,H17,H22,H27,H37,H47,H52,H57,H62,H42)</f>
        <v>9017</v>
      </c>
      <c r="I73" s="37">
        <f>SUM(I12,I17,I22,I27,I32,I37,I47,I52,I57,I62,I42)</f>
        <v>9388</v>
      </c>
    </row>
    <row r="74" spans="1:9" s="40" customFormat="1" ht="12.75">
      <c r="A74" s="38" t="s">
        <v>4</v>
      </c>
      <c r="B74" s="226"/>
      <c r="C74" s="227"/>
      <c r="D74" s="227"/>
      <c r="E74" s="227"/>
      <c r="F74" s="227"/>
      <c r="G74" s="228"/>
      <c r="H74" s="39">
        <f>SUM(H72:H73)</f>
        <v>26922</v>
      </c>
      <c r="I74" s="39">
        <f>SUM(I72:I73)</f>
        <v>27494</v>
      </c>
    </row>
    <row r="76" ht="12" customHeight="1">
      <c r="A76" s="189" t="s">
        <v>114</v>
      </c>
    </row>
    <row r="77" ht="12.75">
      <c r="A77" s="189" t="s">
        <v>21</v>
      </c>
    </row>
  </sheetData>
  <mergeCells count="2">
    <mergeCell ref="A2:I2"/>
    <mergeCell ref="A4:I4"/>
  </mergeCells>
  <printOptions horizontalCentered="1"/>
  <pageMargins left="0.1968503937007874" right="0.1968503937007874" top="0.5905511811023623" bottom="0.3937007874015748" header="0.5118110236220472" footer="0.5118110236220472"/>
  <pageSetup fitToHeight="1" fitToWidth="1" orientation="portrait" paperSize="9" scale="82" r:id="rId1"/>
  <headerFooter alignWithMargins="0">
    <oddFooter>&amp;R&amp;A</oddFooter>
  </headerFooter>
  <rowBreaks count="1" manualBreakCount="1">
    <brk id="48" max="8" man="1"/>
  </rowBreaks>
</worksheet>
</file>

<file path=xl/worksheets/sheet2.xml><?xml version="1.0" encoding="utf-8"?>
<worksheet xmlns="http://schemas.openxmlformats.org/spreadsheetml/2006/main" xmlns:r="http://schemas.openxmlformats.org/officeDocument/2006/relationships">
  <sheetPr codeName="Blad1"/>
  <dimension ref="A1:A1"/>
  <sheetViews>
    <sheetView zoomScale="120" zoomScaleNormal="120" workbookViewId="0" topLeftCell="A1">
      <selection activeCell="N50" sqref="N50"/>
    </sheetView>
  </sheetViews>
  <sheetFormatPr defaultColWidth="9.140625" defaultRowHeight="12.75"/>
  <sheetData/>
  <printOptions horizontalCentered="1"/>
  <pageMargins left="0.1968503937007874" right="0.1968503937007874" top="0.3937007874015748" bottom="0.3937007874015748" header="0.5118110236220472" footer="0.5118110236220472"/>
  <pageSetup horizontalDpi="1200" verticalDpi="1200" orientation="portrait" paperSize="9" scale="80" r:id="rId2"/>
  <headerFooter alignWithMargins="0">
    <oddFooter>&amp;R&amp;F</oddFooter>
  </headerFooter>
  <drawing r:id="rId1"/>
</worksheet>
</file>

<file path=xl/worksheets/sheet3.xml><?xml version="1.0" encoding="utf-8"?>
<worksheet xmlns="http://schemas.openxmlformats.org/spreadsheetml/2006/main" xmlns:r="http://schemas.openxmlformats.org/officeDocument/2006/relationships">
  <sheetPr codeName="Blad2"/>
  <dimension ref="A1:L112"/>
  <sheetViews>
    <sheetView workbookViewId="0" topLeftCell="A1">
      <selection activeCell="B38" sqref="B38"/>
    </sheetView>
  </sheetViews>
  <sheetFormatPr defaultColWidth="9.140625" defaultRowHeight="12.75"/>
  <cols>
    <col min="1" max="1" width="31.28125" style="4" customWidth="1"/>
    <col min="2" max="10" width="10.421875" style="4" customWidth="1"/>
    <col min="11" max="16384" width="9.140625" style="4" customWidth="1"/>
  </cols>
  <sheetData>
    <row r="1" spans="1:10" ht="12.75">
      <c r="A1" s="1" t="s">
        <v>81</v>
      </c>
      <c r="B1" s="2" t="s">
        <v>0</v>
      </c>
      <c r="C1" s="2"/>
      <c r="D1" s="2"/>
      <c r="E1" s="2"/>
      <c r="F1" s="2"/>
      <c r="G1" s="2"/>
      <c r="H1" s="2"/>
      <c r="I1" s="2"/>
      <c r="J1" s="2"/>
    </row>
    <row r="2" spans="1:10" ht="12.75">
      <c r="A2" s="246" t="s">
        <v>1</v>
      </c>
      <c r="B2" s="246"/>
      <c r="C2" s="246"/>
      <c r="D2" s="246"/>
      <c r="E2" s="246"/>
      <c r="F2" s="246"/>
      <c r="G2" s="246"/>
      <c r="H2" s="246"/>
      <c r="I2" s="246"/>
      <c r="J2" s="246"/>
    </row>
    <row r="3" spans="1:10" ht="12.75">
      <c r="A3" s="5"/>
      <c r="B3" s="7"/>
      <c r="C3" s="7"/>
      <c r="D3" s="7"/>
      <c r="E3" s="6"/>
      <c r="F3" s="6"/>
      <c r="G3" s="6"/>
      <c r="H3" s="6"/>
      <c r="I3" s="6"/>
      <c r="J3" s="6"/>
    </row>
    <row r="4" spans="1:10" ht="12.75">
      <c r="A4" s="5" t="s">
        <v>82</v>
      </c>
      <c r="B4" s="7"/>
      <c r="C4" s="7"/>
      <c r="D4" s="7"/>
      <c r="E4" s="6"/>
      <c r="F4" s="6"/>
      <c r="G4" s="6"/>
      <c r="H4" s="6"/>
      <c r="I4" s="6"/>
      <c r="J4" s="6"/>
    </row>
    <row r="5" spans="1:10" ht="13.5" thickBot="1">
      <c r="A5" s="2"/>
      <c r="B5" s="2"/>
      <c r="C5" s="2"/>
      <c r="D5" s="2"/>
      <c r="E5" s="2"/>
      <c r="F5" s="2"/>
      <c r="G5" s="2"/>
      <c r="H5" s="2"/>
      <c r="I5" s="2"/>
      <c r="J5" s="2"/>
    </row>
    <row r="6" spans="1:10" ht="12.75">
      <c r="A6" s="8"/>
      <c r="B6" s="9" t="s">
        <v>2</v>
      </c>
      <c r="C6" s="10"/>
      <c r="D6" s="10"/>
      <c r="E6" s="9" t="s">
        <v>3</v>
      </c>
      <c r="F6" s="10"/>
      <c r="G6" s="10"/>
      <c r="H6" s="9" t="s">
        <v>4</v>
      </c>
      <c r="I6" s="10"/>
      <c r="J6" s="10"/>
    </row>
    <row r="7" spans="1:10" s="161" customFormat="1" ht="12.75">
      <c r="A7" s="66"/>
      <c r="B7" s="181" t="s">
        <v>5</v>
      </c>
      <c r="C7" s="182" t="s">
        <v>6</v>
      </c>
      <c r="D7" s="182" t="s">
        <v>4</v>
      </c>
      <c r="E7" s="181" t="s">
        <v>5</v>
      </c>
      <c r="F7" s="182" t="s">
        <v>6</v>
      </c>
      <c r="G7" s="182" t="s">
        <v>4</v>
      </c>
      <c r="H7" s="181" t="s">
        <v>5</v>
      </c>
      <c r="I7" s="182" t="s">
        <v>6</v>
      </c>
      <c r="J7" s="182" t="s">
        <v>4</v>
      </c>
    </row>
    <row r="8" spans="1:10" ht="12.75">
      <c r="A8" s="2"/>
      <c r="B8" s="11"/>
      <c r="C8" s="12"/>
      <c r="D8" s="12"/>
      <c r="E8" s="11"/>
      <c r="F8" s="12"/>
      <c r="G8" s="12"/>
      <c r="H8" s="11"/>
      <c r="I8" s="12"/>
      <c r="J8" s="12"/>
    </row>
    <row r="9" spans="1:10" ht="12.75">
      <c r="A9" s="1" t="s">
        <v>7</v>
      </c>
      <c r="B9" s="11"/>
      <c r="C9" s="12"/>
      <c r="D9" s="12"/>
      <c r="E9" s="11"/>
      <c r="F9" s="12"/>
      <c r="G9" s="12"/>
      <c r="H9" s="11"/>
      <c r="I9" s="12"/>
      <c r="J9" s="12"/>
    </row>
    <row r="10" spans="1:10" ht="12.75">
      <c r="A10" s="2" t="s">
        <v>45</v>
      </c>
      <c r="B10" s="199">
        <v>929</v>
      </c>
      <c r="C10" s="200">
        <v>6130</v>
      </c>
      <c r="D10" s="196">
        <f>SUM(B10:C10)</f>
        <v>7059</v>
      </c>
      <c r="E10" s="201">
        <v>175</v>
      </c>
      <c r="F10" s="201">
        <v>752</v>
      </c>
      <c r="G10" s="12">
        <f>SUM(E10:F10)</f>
        <v>927</v>
      </c>
      <c r="H10" s="11">
        <f aca="true" t="shared" si="0" ref="H10:I13">SUM(B10,E10)</f>
        <v>1104</v>
      </c>
      <c r="I10" s="12">
        <f t="shared" si="0"/>
        <v>6882</v>
      </c>
      <c r="J10" s="12">
        <f>SUM(H10:I10)</f>
        <v>7986</v>
      </c>
    </row>
    <row r="11" spans="1:10" ht="12.75">
      <c r="A11" s="2" t="s">
        <v>8</v>
      </c>
      <c r="B11" s="199">
        <v>4648</v>
      </c>
      <c r="C11" s="200">
        <v>24007</v>
      </c>
      <c r="D11" s="196">
        <f>SUM(B11:C11)</f>
        <v>28655</v>
      </c>
      <c r="E11" s="201">
        <v>298</v>
      </c>
      <c r="F11" s="201">
        <v>2288</v>
      </c>
      <c r="G11" s="12">
        <f>SUM(E11:F11)</f>
        <v>2586</v>
      </c>
      <c r="H11" s="11">
        <f t="shared" si="0"/>
        <v>4946</v>
      </c>
      <c r="I11" s="12">
        <f t="shared" si="0"/>
        <v>26295</v>
      </c>
      <c r="J11" s="12">
        <f>SUM(H11:I11)</f>
        <v>31241</v>
      </c>
    </row>
    <row r="12" spans="1:10" ht="12.75">
      <c r="A12" s="2" t="s">
        <v>9</v>
      </c>
      <c r="B12" s="199">
        <v>6</v>
      </c>
      <c r="C12" s="200">
        <v>21</v>
      </c>
      <c r="D12" s="196">
        <f>SUM(B12:C12)</f>
        <v>27</v>
      </c>
      <c r="E12" s="201">
        <v>0</v>
      </c>
      <c r="F12" s="201">
        <v>2</v>
      </c>
      <c r="G12" s="12">
        <f>SUM(E12:F12)</f>
        <v>2</v>
      </c>
      <c r="H12" s="13">
        <f t="shared" si="0"/>
        <v>6</v>
      </c>
      <c r="I12" s="12">
        <f t="shared" si="0"/>
        <v>23</v>
      </c>
      <c r="J12" s="12">
        <f>SUM(H12:I12)</f>
        <v>29</v>
      </c>
    </row>
    <row r="13" spans="1:10" ht="12.75">
      <c r="A13" s="3" t="s">
        <v>10</v>
      </c>
      <c r="B13" s="202">
        <v>1757</v>
      </c>
      <c r="C13" s="203">
        <v>9308</v>
      </c>
      <c r="D13" s="197">
        <f>SUM(B13:C13)</f>
        <v>11065</v>
      </c>
      <c r="E13" s="201">
        <v>129</v>
      </c>
      <c r="F13" s="201">
        <v>847</v>
      </c>
      <c r="G13" s="12">
        <f>SUM(E13:F13)</f>
        <v>976</v>
      </c>
      <c r="H13" s="11">
        <f t="shared" si="0"/>
        <v>1886</v>
      </c>
      <c r="I13" s="12">
        <f t="shared" si="0"/>
        <v>10155</v>
      </c>
      <c r="J13" s="12">
        <f>SUM(H13:I13)</f>
        <v>12041</v>
      </c>
    </row>
    <row r="14" spans="1:10" s="17" customFormat="1" ht="12.75">
      <c r="A14" s="14" t="s">
        <v>4</v>
      </c>
      <c r="B14" s="15">
        <f>SUM(B10:B13)</f>
        <v>7340</v>
      </c>
      <c r="C14" s="16">
        <f aca="true" t="shared" si="1" ref="C14:J14">SUM(C10:C13)</f>
        <v>39466</v>
      </c>
      <c r="D14" s="16">
        <f t="shared" si="1"/>
        <v>46806</v>
      </c>
      <c r="E14" s="15">
        <f t="shared" si="1"/>
        <v>602</v>
      </c>
      <c r="F14" s="16">
        <f t="shared" si="1"/>
        <v>3889</v>
      </c>
      <c r="G14" s="16">
        <f t="shared" si="1"/>
        <v>4491</v>
      </c>
      <c r="H14" s="15">
        <f t="shared" si="1"/>
        <v>7942</v>
      </c>
      <c r="I14" s="16">
        <f t="shared" si="1"/>
        <v>43355</v>
      </c>
      <c r="J14" s="16">
        <f t="shared" si="1"/>
        <v>51297</v>
      </c>
    </row>
    <row r="15" spans="1:10" ht="12.75">
      <c r="A15" s="3"/>
      <c r="B15" s="11"/>
      <c r="C15" s="12"/>
      <c r="D15" s="12"/>
      <c r="E15" s="11"/>
      <c r="F15" s="12"/>
      <c r="G15" s="12"/>
      <c r="H15" s="11"/>
      <c r="I15" s="12"/>
      <c r="J15" s="12"/>
    </row>
    <row r="16" spans="1:10" ht="12.75">
      <c r="A16" s="1" t="s">
        <v>11</v>
      </c>
      <c r="B16" s="11"/>
      <c r="C16" s="12"/>
      <c r="D16" s="12"/>
      <c r="E16" s="11"/>
      <c r="F16" s="12"/>
      <c r="G16" s="12"/>
      <c r="H16" s="11"/>
      <c r="I16" s="12"/>
      <c r="J16" s="12"/>
    </row>
    <row r="17" spans="1:10" ht="12.75">
      <c r="A17" s="2" t="s">
        <v>45</v>
      </c>
      <c r="B17" s="199">
        <v>244</v>
      </c>
      <c r="C17" s="200">
        <v>1205</v>
      </c>
      <c r="D17" s="196">
        <f>SUM(B17:C17)</f>
        <v>1449</v>
      </c>
      <c r="E17" s="201">
        <v>74</v>
      </c>
      <c r="F17" s="201">
        <v>584</v>
      </c>
      <c r="G17" s="12">
        <f>SUM(E17:F17)</f>
        <v>658</v>
      </c>
      <c r="H17" s="11">
        <f aca="true" t="shared" si="2" ref="H17:I20">SUM(B17,E17)</f>
        <v>318</v>
      </c>
      <c r="I17" s="12">
        <f t="shared" si="2"/>
        <v>1789</v>
      </c>
      <c r="J17" s="12">
        <f>SUM(H17:I17)</f>
        <v>2107</v>
      </c>
    </row>
    <row r="18" spans="1:10" ht="12.75">
      <c r="A18" s="2" t="s">
        <v>8</v>
      </c>
      <c r="B18" s="199">
        <v>676</v>
      </c>
      <c r="C18" s="200">
        <v>2981</v>
      </c>
      <c r="D18" s="196">
        <f>SUM(B18:C18)</f>
        <v>3657</v>
      </c>
      <c r="E18" s="201">
        <v>103</v>
      </c>
      <c r="F18" s="201">
        <v>1051</v>
      </c>
      <c r="G18" s="12">
        <f>SUM(E18:F18)</f>
        <v>1154</v>
      </c>
      <c r="H18" s="11">
        <f t="shared" si="2"/>
        <v>779</v>
      </c>
      <c r="I18" s="12">
        <f t="shared" si="2"/>
        <v>4032</v>
      </c>
      <c r="J18" s="12">
        <f>SUM(H18:I18)</f>
        <v>4811</v>
      </c>
    </row>
    <row r="19" spans="1:10" ht="12.75">
      <c r="A19" s="2" t="s">
        <v>9</v>
      </c>
      <c r="B19" s="199">
        <v>22</v>
      </c>
      <c r="C19" s="200">
        <v>94</v>
      </c>
      <c r="D19" s="198">
        <f>SUM(B19:C19)</f>
        <v>116</v>
      </c>
      <c r="E19" s="201">
        <v>1</v>
      </c>
      <c r="F19" s="201">
        <v>25</v>
      </c>
      <c r="G19" s="18">
        <f>SUM(E19:F19)</f>
        <v>26</v>
      </c>
      <c r="H19" s="13">
        <f t="shared" si="2"/>
        <v>23</v>
      </c>
      <c r="I19" s="18">
        <f t="shared" si="2"/>
        <v>119</v>
      </c>
      <c r="J19" s="18">
        <f>SUM(H19:I19)</f>
        <v>142</v>
      </c>
    </row>
    <row r="20" spans="1:10" ht="12.75">
      <c r="A20" s="2" t="s">
        <v>10</v>
      </c>
      <c r="B20" s="202">
        <v>120</v>
      </c>
      <c r="C20" s="203">
        <v>663</v>
      </c>
      <c r="D20" s="197">
        <f>SUM(B20:C20)</f>
        <v>783</v>
      </c>
      <c r="E20" s="201">
        <v>20</v>
      </c>
      <c r="F20" s="201">
        <v>245</v>
      </c>
      <c r="G20" s="12">
        <f>SUM(E20:F20)</f>
        <v>265</v>
      </c>
      <c r="H20" s="11">
        <f t="shared" si="2"/>
        <v>140</v>
      </c>
      <c r="I20" s="12">
        <f t="shared" si="2"/>
        <v>908</v>
      </c>
      <c r="J20" s="12">
        <f>SUM(H20:I20)</f>
        <v>1048</v>
      </c>
    </row>
    <row r="21" spans="1:10" s="17" customFormat="1" ht="12.75">
      <c r="A21" s="19" t="s">
        <v>4</v>
      </c>
      <c r="B21" s="15">
        <f aca="true" t="shared" si="3" ref="B21:J21">SUM(B17:B20)</f>
        <v>1062</v>
      </c>
      <c r="C21" s="16">
        <f t="shared" si="3"/>
        <v>4943</v>
      </c>
      <c r="D21" s="16">
        <f t="shared" si="3"/>
        <v>6005</v>
      </c>
      <c r="E21" s="15">
        <f t="shared" si="3"/>
        <v>198</v>
      </c>
      <c r="F21" s="16">
        <f t="shared" si="3"/>
        <v>1905</v>
      </c>
      <c r="G21" s="16">
        <f t="shared" si="3"/>
        <v>2103</v>
      </c>
      <c r="H21" s="15">
        <f t="shared" si="3"/>
        <v>1260</v>
      </c>
      <c r="I21" s="16">
        <f t="shared" si="3"/>
        <v>6848</v>
      </c>
      <c r="J21" s="16">
        <f t="shared" si="3"/>
        <v>8108</v>
      </c>
    </row>
    <row r="22" spans="1:10" ht="12.75">
      <c r="A22" s="2"/>
      <c r="B22" s="11"/>
      <c r="C22" s="12"/>
      <c r="D22" s="12"/>
      <c r="E22" s="11"/>
      <c r="F22" s="12"/>
      <c r="G22" s="12"/>
      <c r="H22" s="11"/>
      <c r="I22" s="12"/>
      <c r="J22" s="12"/>
    </row>
    <row r="23" spans="1:10" ht="12.75">
      <c r="A23" s="1" t="s">
        <v>12</v>
      </c>
      <c r="B23" s="11"/>
      <c r="C23" s="12"/>
      <c r="D23" s="12"/>
      <c r="E23" s="11"/>
      <c r="F23" s="12"/>
      <c r="G23" s="12"/>
      <c r="H23" s="11"/>
      <c r="I23" s="12"/>
      <c r="J23" s="12"/>
    </row>
    <row r="24" spans="1:10" ht="12.75">
      <c r="A24" s="2" t="s">
        <v>45</v>
      </c>
      <c r="B24" s="199">
        <f>4701-13</f>
        <v>4688</v>
      </c>
      <c r="C24" s="200">
        <f>6558-60</f>
        <v>6498</v>
      </c>
      <c r="D24" s="196">
        <f>SUM(B24:C24)</f>
        <v>11186</v>
      </c>
      <c r="E24" s="201">
        <v>442</v>
      </c>
      <c r="F24" s="201">
        <v>1228</v>
      </c>
      <c r="G24" s="12">
        <f>SUM(E24:F24)</f>
        <v>1670</v>
      </c>
      <c r="H24" s="11">
        <f aca="true" t="shared" si="4" ref="H24:I27">SUM(B24,E24)</f>
        <v>5130</v>
      </c>
      <c r="I24" s="12">
        <f t="shared" si="4"/>
        <v>7726</v>
      </c>
      <c r="J24" s="12">
        <f>SUM(H24:I24)</f>
        <v>12856</v>
      </c>
    </row>
    <row r="25" spans="1:10" ht="12.75">
      <c r="A25" s="2" t="s">
        <v>8</v>
      </c>
      <c r="B25" s="199">
        <v>16210</v>
      </c>
      <c r="C25" s="200">
        <v>23797</v>
      </c>
      <c r="D25" s="196">
        <f>SUM(B25:C25)</f>
        <v>40007</v>
      </c>
      <c r="E25" s="201">
        <v>1449</v>
      </c>
      <c r="F25" s="201">
        <v>3062</v>
      </c>
      <c r="G25" s="12">
        <f>SUM(E25:F25)</f>
        <v>4511</v>
      </c>
      <c r="H25" s="11">
        <f t="shared" si="4"/>
        <v>17659</v>
      </c>
      <c r="I25" s="12">
        <f t="shared" si="4"/>
        <v>26859</v>
      </c>
      <c r="J25" s="12">
        <f>SUM(H25:I25)</f>
        <v>44518</v>
      </c>
    </row>
    <row r="26" spans="1:10" ht="12.75">
      <c r="A26" s="2" t="s">
        <v>9</v>
      </c>
      <c r="B26" s="199">
        <f>1153-10</f>
        <v>1143</v>
      </c>
      <c r="C26" s="200">
        <f>1074-62</f>
        <v>1012</v>
      </c>
      <c r="D26" s="196">
        <f>SUM(B26:C26)</f>
        <v>2155</v>
      </c>
      <c r="E26" s="201">
        <v>70</v>
      </c>
      <c r="F26" s="201">
        <v>154</v>
      </c>
      <c r="G26" s="12">
        <f>SUM(E26:F26)</f>
        <v>224</v>
      </c>
      <c r="H26" s="11">
        <f t="shared" si="4"/>
        <v>1213</v>
      </c>
      <c r="I26" s="12">
        <f t="shared" si="4"/>
        <v>1166</v>
      </c>
      <c r="J26" s="12">
        <f>SUM(H26:I26)</f>
        <v>2379</v>
      </c>
    </row>
    <row r="27" spans="1:10" ht="12.75">
      <c r="A27" s="3" t="s">
        <v>10</v>
      </c>
      <c r="B27" s="202">
        <f>1577-4</f>
        <v>1573</v>
      </c>
      <c r="C27" s="203">
        <f>1680-16</f>
        <v>1664</v>
      </c>
      <c r="D27" s="197">
        <f>SUM(B27:C27)</f>
        <v>3237</v>
      </c>
      <c r="E27" s="201">
        <v>118</v>
      </c>
      <c r="F27" s="201">
        <v>261</v>
      </c>
      <c r="G27" s="12">
        <f>SUM(E27:F27)</f>
        <v>379</v>
      </c>
      <c r="H27" s="11">
        <f t="shared" si="4"/>
        <v>1691</v>
      </c>
      <c r="I27" s="12">
        <f t="shared" si="4"/>
        <v>1925</v>
      </c>
      <c r="J27" s="12">
        <f>SUM(H27:I27)</f>
        <v>3616</v>
      </c>
    </row>
    <row r="28" spans="1:10" s="17" customFormat="1" ht="12.75">
      <c r="A28" s="14" t="s">
        <v>4</v>
      </c>
      <c r="B28" s="15">
        <f aca="true" t="shared" si="5" ref="B28:J28">SUM(B24:B27)</f>
        <v>23614</v>
      </c>
      <c r="C28" s="16">
        <f t="shared" si="5"/>
        <v>32971</v>
      </c>
      <c r="D28" s="16">
        <f t="shared" si="5"/>
        <v>56585</v>
      </c>
      <c r="E28" s="15">
        <f t="shared" si="5"/>
        <v>2079</v>
      </c>
      <c r="F28" s="16">
        <f t="shared" si="5"/>
        <v>4705</v>
      </c>
      <c r="G28" s="16">
        <f t="shared" si="5"/>
        <v>6784</v>
      </c>
      <c r="H28" s="15">
        <f t="shared" si="5"/>
        <v>25693</v>
      </c>
      <c r="I28" s="16">
        <f t="shared" si="5"/>
        <v>37676</v>
      </c>
      <c r="J28" s="16">
        <f t="shared" si="5"/>
        <v>63369</v>
      </c>
    </row>
    <row r="29" spans="1:10" ht="12.75">
      <c r="A29" s="3"/>
      <c r="B29" s="11"/>
      <c r="C29" s="12"/>
      <c r="D29" s="12"/>
      <c r="E29" s="11"/>
      <c r="F29" s="12"/>
      <c r="G29" s="12"/>
      <c r="H29" s="11"/>
      <c r="I29" s="12"/>
      <c r="J29" s="12"/>
    </row>
    <row r="30" spans="1:10" ht="12.75">
      <c r="A30" s="1" t="s">
        <v>13</v>
      </c>
      <c r="B30" s="11"/>
      <c r="C30" s="12"/>
      <c r="D30" s="12"/>
      <c r="E30" s="11"/>
      <c r="F30" s="12"/>
      <c r="G30" s="12"/>
      <c r="H30" s="11"/>
      <c r="I30" s="12"/>
      <c r="J30" s="12"/>
    </row>
    <row r="31" spans="1:10" ht="12.75">
      <c r="A31" s="2" t="s">
        <v>45</v>
      </c>
      <c r="B31" s="199">
        <v>508</v>
      </c>
      <c r="C31" s="200">
        <v>826</v>
      </c>
      <c r="D31" s="196">
        <f>SUM(B31:C31)</f>
        <v>1334</v>
      </c>
      <c r="E31" s="11">
        <v>51</v>
      </c>
      <c r="F31" s="12">
        <v>258</v>
      </c>
      <c r="G31" s="12">
        <f>SUM(E31:F31)</f>
        <v>309</v>
      </c>
      <c r="H31" s="11">
        <f aca="true" t="shared" si="6" ref="H31:I34">SUM(B31,E31)</f>
        <v>559</v>
      </c>
      <c r="I31" s="12">
        <f t="shared" si="6"/>
        <v>1084</v>
      </c>
      <c r="J31" s="12">
        <f>SUM(H31:I31)</f>
        <v>1643</v>
      </c>
    </row>
    <row r="32" spans="1:10" ht="12.75">
      <c r="A32" s="2" t="s">
        <v>8</v>
      </c>
      <c r="B32" s="199">
        <v>1441</v>
      </c>
      <c r="C32" s="200">
        <v>2346</v>
      </c>
      <c r="D32" s="196">
        <f>SUM(B32:C32)</f>
        <v>3787</v>
      </c>
      <c r="E32" s="11">
        <v>123</v>
      </c>
      <c r="F32" s="12">
        <v>494</v>
      </c>
      <c r="G32" s="12">
        <f>SUM(E32:F32)</f>
        <v>617</v>
      </c>
      <c r="H32" s="11">
        <f t="shared" si="6"/>
        <v>1564</v>
      </c>
      <c r="I32" s="12">
        <f t="shared" si="6"/>
        <v>2840</v>
      </c>
      <c r="J32" s="12">
        <f>SUM(H32:I32)</f>
        <v>4404</v>
      </c>
    </row>
    <row r="33" spans="1:10" ht="12.75">
      <c r="A33" s="2" t="s">
        <v>9</v>
      </c>
      <c r="B33" s="199">
        <v>55</v>
      </c>
      <c r="C33" s="200">
        <v>52</v>
      </c>
      <c r="D33" s="196">
        <f>SUM(B33:C33)</f>
        <v>107</v>
      </c>
      <c r="E33" s="13">
        <v>4</v>
      </c>
      <c r="F33" s="12">
        <v>10</v>
      </c>
      <c r="G33" s="12">
        <f>SUM(E33:F33)</f>
        <v>14</v>
      </c>
      <c r="H33" s="13">
        <f t="shared" si="6"/>
        <v>59</v>
      </c>
      <c r="I33" s="12">
        <f t="shared" si="6"/>
        <v>62</v>
      </c>
      <c r="J33" s="12">
        <f>SUM(H33:I33)</f>
        <v>121</v>
      </c>
    </row>
    <row r="34" spans="1:10" ht="12.75">
      <c r="A34" s="2" t="s">
        <v>10</v>
      </c>
      <c r="B34" s="202">
        <v>313</v>
      </c>
      <c r="C34" s="203">
        <v>380</v>
      </c>
      <c r="D34" s="197">
        <f>SUM(B34:C34)</f>
        <v>693</v>
      </c>
      <c r="E34" s="11">
        <v>21</v>
      </c>
      <c r="F34" s="12">
        <v>87</v>
      </c>
      <c r="G34" s="12">
        <f>SUM(E34:F34)</f>
        <v>108</v>
      </c>
      <c r="H34" s="11">
        <f t="shared" si="6"/>
        <v>334</v>
      </c>
      <c r="I34" s="12">
        <f t="shared" si="6"/>
        <v>467</v>
      </c>
      <c r="J34" s="12">
        <f>SUM(H34:I34)</f>
        <v>801</v>
      </c>
    </row>
    <row r="35" spans="1:10" s="17" customFormat="1" ht="12.75">
      <c r="A35" s="19" t="s">
        <v>4</v>
      </c>
      <c r="B35" s="15">
        <f aca="true" t="shared" si="7" ref="B35:J35">SUM(B31:B34)</f>
        <v>2317</v>
      </c>
      <c r="C35" s="16">
        <f t="shared" si="7"/>
        <v>3604</v>
      </c>
      <c r="D35" s="16">
        <f t="shared" si="7"/>
        <v>5921</v>
      </c>
      <c r="E35" s="15">
        <f t="shared" si="7"/>
        <v>199</v>
      </c>
      <c r="F35" s="16">
        <f t="shared" si="7"/>
        <v>849</v>
      </c>
      <c r="G35" s="16">
        <f t="shared" si="7"/>
        <v>1048</v>
      </c>
      <c r="H35" s="15">
        <f t="shared" si="7"/>
        <v>2516</v>
      </c>
      <c r="I35" s="16">
        <f t="shared" si="7"/>
        <v>4453</v>
      </c>
      <c r="J35" s="16">
        <f t="shared" si="7"/>
        <v>6969</v>
      </c>
    </row>
    <row r="36" spans="1:10" s="17" customFormat="1" ht="12.75">
      <c r="A36" s="19"/>
      <c r="B36" s="20"/>
      <c r="C36" s="21"/>
      <c r="D36" s="21"/>
      <c r="E36" s="20"/>
      <c r="F36" s="21"/>
      <c r="G36" s="21"/>
      <c r="H36" s="20"/>
      <c r="I36" s="21"/>
      <c r="J36" s="21"/>
    </row>
    <row r="37" spans="1:10" s="17" customFormat="1" ht="12.75">
      <c r="A37" s="1" t="s">
        <v>113</v>
      </c>
      <c r="B37" s="20"/>
      <c r="C37" s="21"/>
      <c r="D37" s="21"/>
      <c r="E37" s="20"/>
      <c r="F37" s="21"/>
      <c r="G37" s="21"/>
      <c r="H37" s="20"/>
      <c r="I37" s="21"/>
      <c r="J37" s="21"/>
    </row>
    <row r="38" spans="1:10" s="17" customFormat="1" ht="12.75">
      <c r="A38" s="2" t="s">
        <v>45</v>
      </c>
      <c r="B38" s="13">
        <f>7+6</f>
        <v>13</v>
      </c>
      <c r="C38" s="70">
        <f>34+26+0</f>
        <v>60</v>
      </c>
      <c r="D38" s="70">
        <f>SUM(B38:C38)</f>
        <v>73</v>
      </c>
      <c r="E38" s="13">
        <v>0</v>
      </c>
      <c r="F38" s="70">
        <v>0</v>
      </c>
      <c r="G38" s="70">
        <f>SUM(E38:F38)</f>
        <v>0</v>
      </c>
      <c r="H38" s="13">
        <f aca="true" t="shared" si="8" ref="H38:I41">SUM(B38,E38)</f>
        <v>13</v>
      </c>
      <c r="I38" s="70">
        <f t="shared" si="8"/>
        <v>60</v>
      </c>
      <c r="J38" s="70">
        <f>SUM(H38:I38)</f>
        <v>73</v>
      </c>
    </row>
    <row r="39" spans="1:10" s="17" customFormat="1" ht="12.75">
      <c r="A39" s="2" t="s">
        <v>8</v>
      </c>
      <c r="B39" s="13">
        <v>73</v>
      </c>
      <c r="C39" s="70">
        <v>567</v>
      </c>
      <c r="D39" s="70">
        <f>SUM(B39:C39)</f>
        <v>640</v>
      </c>
      <c r="E39" s="13">
        <v>2</v>
      </c>
      <c r="F39" s="70">
        <v>18</v>
      </c>
      <c r="G39" s="70">
        <f>SUM(E39:F39)</f>
        <v>20</v>
      </c>
      <c r="H39" s="13">
        <f t="shared" si="8"/>
        <v>75</v>
      </c>
      <c r="I39" s="70">
        <f t="shared" si="8"/>
        <v>585</v>
      </c>
      <c r="J39" s="70">
        <f>SUM(H39:I39)</f>
        <v>660</v>
      </c>
    </row>
    <row r="40" spans="1:10" s="17" customFormat="1" ht="12.75">
      <c r="A40" s="2" t="s">
        <v>9</v>
      </c>
      <c r="B40" s="13">
        <f>8+2</f>
        <v>10</v>
      </c>
      <c r="C40" s="70">
        <f>46+16</f>
        <v>62</v>
      </c>
      <c r="D40" s="70">
        <f>SUM(B40:C40)</f>
        <v>72</v>
      </c>
      <c r="E40" s="13">
        <v>0</v>
      </c>
      <c r="F40" s="70">
        <v>0</v>
      </c>
      <c r="G40" s="70">
        <f>SUM(E40:F40)</f>
        <v>0</v>
      </c>
      <c r="H40" s="13">
        <f t="shared" si="8"/>
        <v>10</v>
      </c>
      <c r="I40" s="70">
        <f t="shared" si="8"/>
        <v>62</v>
      </c>
      <c r="J40" s="70">
        <f>SUM(H40:I40)</f>
        <v>72</v>
      </c>
    </row>
    <row r="41" spans="1:10" s="17" customFormat="1" ht="12.75">
      <c r="A41" s="2" t="s">
        <v>10</v>
      </c>
      <c r="B41" s="13">
        <f>4+0</f>
        <v>4</v>
      </c>
      <c r="C41" s="70">
        <f>11+5</f>
        <v>16</v>
      </c>
      <c r="D41" s="70">
        <f>SUM(B41:C41)</f>
        <v>20</v>
      </c>
      <c r="E41" s="13">
        <v>0</v>
      </c>
      <c r="F41" s="70">
        <v>0</v>
      </c>
      <c r="G41" s="70">
        <f>SUM(E41:F41)</f>
        <v>0</v>
      </c>
      <c r="H41" s="13">
        <f t="shared" si="8"/>
        <v>4</v>
      </c>
      <c r="I41" s="70">
        <f t="shared" si="8"/>
        <v>16</v>
      </c>
      <c r="J41" s="70">
        <f>SUM(H41:I41)</f>
        <v>20</v>
      </c>
    </row>
    <row r="42" spans="1:10" ht="12.75">
      <c r="A42" s="19" t="s">
        <v>4</v>
      </c>
      <c r="B42" s="72">
        <f aca="true" t="shared" si="9" ref="B42:J42">SUM(B38:B41)</f>
        <v>100</v>
      </c>
      <c r="C42" s="73">
        <f t="shared" si="9"/>
        <v>705</v>
      </c>
      <c r="D42" s="221">
        <f t="shared" si="9"/>
        <v>805</v>
      </c>
      <c r="E42" s="72">
        <f t="shared" si="9"/>
        <v>2</v>
      </c>
      <c r="F42" s="73">
        <f t="shared" si="9"/>
        <v>18</v>
      </c>
      <c r="G42" s="221">
        <f t="shared" si="9"/>
        <v>20</v>
      </c>
      <c r="H42" s="72">
        <f t="shared" si="9"/>
        <v>102</v>
      </c>
      <c r="I42" s="73">
        <f t="shared" si="9"/>
        <v>723</v>
      </c>
      <c r="J42" s="73">
        <f t="shared" si="9"/>
        <v>825</v>
      </c>
    </row>
    <row r="43" spans="1:10" ht="12.75">
      <c r="A43" s="19"/>
      <c r="B43" s="11"/>
      <c r="C43" s="12"/>
      <c r="D43" s="12"/>
      <c r="E43" s="11"/>
      <c r="F43" s="12"/>
      <c r="G43" s="12"/>
      <c r="H43" s="11"/>
      <c r="I43" s="12"/>
      <c r="J43" s="12"/>
    </row>
    <row r="44" spans="1:10" ht="12.75">
      <c r="A44" s="1" t="s">
        <v>14</v>
      </c>
      <c r="B44" s="11"/>
      <c r="C44" s="12"/>
      <c r="D44" s="12"/>
      <c r="E44" s="11"/>
      <c r="F44" s="12"/>
      <c r="G44" s="12"/>
      <c r="H44" s="11"/>
      <c r="I44" s="12"/>
      <c r="J44" s="12"/>
    </row>
    <row r="45" spans="1:10" s="17" customFormat="1" ht="12.75">
      <c r="A45" s="19" t="s">
        <v>4</v>
      </c>
      <c r="B45" s="20">
        <v>3918</v>
      </c>
      <c r="C45" s="21">
        <v>3990</v>
      </c>
      <c r="D45" s="21">
        <f>SUM(B45:C45)</f>
        <v>7908</v>
      </c>
      <c r="E45" s="20">
        <v>735</v>
      </c>
      <c r="F45" s="21">
        <v>1398</v>
      </c>
      <c r="G45" s="21">
        <f>SUM(E45:F45)</f>
        <v>2133</v>
      </c>
      <c r="H45" s="20">
        <f>SUM(B45,E45)</f>
        <v>4653</v>
      </c>
      <c r="I45" s="21">
        <f>SUM(C45,F45)</f>
        <v>5388</v>
      </c>
      <c r="J45" s="21">
        <f>SUM(H45:I45)</f>
        <v>10041</v>
      </c>
    </row>
    <row r="46" spans="1:10" s="17" customFormat="1" ht="12.75">
      <c r="A46" s="19"/>
      <c r="B46" s="20"/>
      <c r="C46" s="21"/>
      <c r="D46" s="21"/>
      <c r="E46" s="20"/>
      <c r="F46" s="21"/>
      <c r="G46" s="21"/>
      <c r="H46" s="20"/>
      <c r="I46" s="21"/>
      <c r="J46" s="21"/>
    </row>
    <row r="47" spans="1:10" s="17" customFormat="1" ht="12.75">
      <c r="A47" s="210" t="s">
        <v>68</v>
      </c>
      <c r="B47" s="20"/>
      <c r="C47" s="21"/>
      <c r="D47" s="21"/>
      <c r="E47" s="20"/>
      <c r="F47" s="21"/>
      <c r="G47" s="21"/>
      <c r="H47" s="20"/>
      <c r="I47" s="21"/>
      <c r="J47" s="21"/>
    </row>
    <row r="48" spans="1:10" s="17" customFormat="1" ht="12.75">
      <c r="A48" s="19" t="s">
        <v>4</v>
      </c>
      <c r="B48" s="20">
        <v>106</v>
      </c>
      <c r="C48" s="21">
        <v>480</v>
      </c>
      <c r="D48" s="21">
        <f>SUM(B48:C48)</f>
        <v>586</v>
      </c>
      <c r="E48" s="20">
        <v>5</v>
      </c>
      <c r="F48" s="21">
        <v>53</v>
      </c>
      <c r="G48" s="21">
        <f>SUM(E48:F48)</f>
        <v>58</v>
      </c>
      <c r="H48" s="20">
        <f>B48+E48</f>
        <v>111</v>
      </c>
      <c r="I48" s="21">
        <f>C48+F48</f>
        <v>533</v>
      </c>
      <c r="J48" s="21">
        <f>H48+I48</f>
        <v>644</v>
      </c>
    </row>
    <row r="49" spans="1:10" ht="12.75">
      <c r="A49" s="22"/>
      <c r="B49" s="23"/>
      <c r="C49" s="24"/>
      <c r="D49" s="24"/>
      <c r="E49" s="23"/>
      <c r="F49" s="24"/>
      <c r="G49" s="24"/>
      <c r="H49" s="23"/>
      <c r="I49" s="24"/>
      <c r="J49" s="24"/>
    </row>
    <row r="50" spans="1:10" ht="12.75">
      <c r="A50" s="1" t="s">
        <v>61</v>
      </c>
      <c r="B50" s="11"/>
      <c r="C50" s="12"/>
      <c r="D50" s="12"/>
      <c r="E50" s="11"/>
      <c r="F50" s="12"/>
      <c r="G50" s="12"/>
      <c r="H50" s="11"/>
      <c r="I50" s="12"/>
      <c r="J50" s="12"/>
    </row>
    <row r="51" spans="1:10" ht="12.75">
      <c r="A51" s="2" t="s">
        <v>45</v>
      </c>
      <c r="B51" s="11">
        <v>555</v>
      </c>
      <c r="C51" s="12">
        <v>882</v>
      </c>
      <c r="D51" s="12">
        <f>SUM(B51:C51)</f>
        <v>1437</v>
      </c>
      <c r="E51" s="11">
        <v>38</v>
      </c>
      <c r="F51" s="12">
        <v>146</v>
      </c>
      <c r="G51" s="12">
        <f>SUM(E51:F51)</f>
        <v>184</v>
      </c>
      <c r="H51" s="11">
        <f aca="true" t="shared" si="10" ref="H51:I54">SUM(B51,E51)</f>
        <v>593</v>
      </c>
      <c r="I51" s="12">
        <f t="shared" si="10"/>
        <v>1028</v>
      </c>
      <c r="J51" s="12">
        <f>SUM(H51:I51)</f>
        <v>1621</v>
      </c>
    </row>
    <row r="52" spans="1:10" ht="12.75">
      <c r="A52" s="2" t="s">
        <v>8</v>
      </c>
      <c r="B52" s="11">
        <v>594</v>
      </c>
      <c r="C52" s="12">
        <v>1148</v>
      </c>
      <c r="D52" s="12">
        <f>SUM(B52:C52)</f>
        <v>1742</v>
      </c>
      <c r="E52" s="11">
        <v>44</v>
      </c>
      <c r="F52" s="12">
        <v>180</v>
      </c>
      <c r="G52" s="12">
        <f>SUM(E52:F52)</f>
        <v>224</v>
      </c>
      <c r="H52" s="11">
        <f t="shared" si="10"/>
        <v>638</v>
      </c>
      <c r="I52" s="12">
        <f t="shared" si="10"/>
        <v>1328</v>
      </c>
      <c r="J52" s="12">
        <f>SUM(H52:I52)</f>
        <v>1966</v>
      </c>
    </row>
    <row r="53" spans="1:10" ht="12.75">
      <c r="A53" s="2" t="s">
        <v>9</v>
      </c>
      <c r="B53" s="11">
        <v>222</v>
      </c>
      <c r="C53" s="12">
        <v>292</v>
      </c>
      <c r="D53" s="12">
        <f>SUM(B53:C53)</f>
        <v>514</v>
      </c>
      <c r="E53" s="11">
        <v>15</v>
      </c>
      <c r="F53" s="12">
        <v>44</v>
      </c>
      <c r="G53" s="12">
        <f>SUM(E53:F53)</f>
        <v>59</v>
      </c>
      <c r="H53" s="11">
        <f t="shared" si="10"/>
        <v>237</v>
      </c>
      <c r="I53" s="12">
        <f t="shared" si="10"/>
        <v>336</v>
      </c>
      <c r="J53" s="12">
        <f>SUM(H53:I53)</f>
        <v>573</v>
      </c>
    </row>
    <row r="54" spans="1:10" ht="12.75">
      <c r="A54" s="2" t="s">
        <v>10</v>
      </c>
      <c r="B54" s="11">
        <v>203</v>
      </c>
      <c r="C54" s="12">
        <v>390</v>
      </c>
      <c r="D54" s="12">
        <f>SUM(B54:C54)</f>
        <v>593</v>
      </c>
      <c r="E54" s="11">
        <v>13</v>
      </c>
      <c r="F54" s="12">
        <v>59</v>
      </c>
      <c r="G54" s="12">
        <f>SUM(E54:F54)</f>
        <v>72</v>
      </c>
      <c r="H54" s="11">
        <f t="shared" si="10"/>
        <v>216</v>
      </c>
      <c r="I54" s="12">
        <f t="shared" si="10"/>
        <v>449</v>
      </c>
      <c r="J54" s="12">
        <f>SUM(H54:I54)</f>
        <v>665</v>
      </c>
    </row>
    <row r="55" spans="1:10" s="17" customFormat="1" ht="12.75">
      <c r="A55" s="19" t="s">
        <v>4</v>
      </c>
      <c r="B55" s="15">
        <f aca="true" t="shared" si="11" ref="B55:J55">SUM(B51:B54)</f>
        <v>1574</v>
      </c>
      <c r="C55" s="16">
        <f t="shared" si="11"/>
        <v>2712</v>
      </c>
      <c r="D55" s="16">
        <f t="shared" si="11"/>
        <v>4286</v>
      </c>
      <c r="E55" s="15">
        <f t="shared" si="11"/>
        <v>110</v>
      </c>
      <c r="F55" s="16">
        <f t="shared" si="11"/>
        <v>429</v>
      </c>
      <c r="G55" s="16">
        <f t="shared" si="11"/>
        <v>539</v>
      </c>
      <c r="H55" s="15">
        <f t="shared" si="11"/>
        <v>1684</v>
      </c>
      <c r="I55" s="16">
        <f t="shared" si="11"/>
        <v>3141</v>
      </c>
      <c r="J55" s="16">
        <f t="shared" si="11"/>
        <v>4825</v>
      </c>
    </row>
    <row r="56" spans="1:10" ht="12.75">
      <c r="A56" s="2"/>
      <c r="B56" s="11"/>
      <c r="C56" s="12"/>
      <c r="D56" s="12"/>
      <c r="E56" s="11"/>
      <c r="F56" s="12"/>
      <c r="G56" s="12"/>
      <c r="H56" s="11"/>
      <c r="I56" s="12"/>
      <c r="J56" s="12"/>
    </row>
    <row r="57" spans="1:10" ht="12.75">
      <c r="A57" s="1" t="s">
        <v>62</v>
      </c>
      <c r="B57" s="11"/>
      <c r="C57" s="12"/>
      <c r="D57" s="12"/>
      <c r="E57" s="11"/>
      <c r="F57" s="12"/>
      <c r="G57" s="12"/>
      <c r="H57" s="11"/>
      <c r="I57" s="12"/>
      <c r="J57" s="12"/>
    </row>
    <row r="58" spans="1:10" ht="12.75">
      <c r="A58" s="2" t="s">
        <v>45</v>
      </c>
      <c r="B58" s="11">
        <v>123</v>
      </c>
      <c r="C58" s="12">
        <v>98</v>
      </c>
      <c r="D58" s="12">
        <f>SUM(B58:C58)</f>
        <v>221</v>
      </c>
      <c r="E58" s="11">
        <v>4</v>
      </c>
      <c r="F58" s="12">
        <v>9</v>
      </c>
      <c r="G58" s="12">
        <f>SUM(E58:F58)</f>
        <v>13</v>
      </c>
      <c r="H58" s="11">
        <f aca="true" t="shared" si="12" ref="H58:I61">SUM(B58,E58)</f>
        <v>127</v>
      </c>
      <c r="I58" s="12">
        <f t="shared" si="12"/>
        <v>107</v>
      </c>
      <c r="J58" s="12">
        <f>SUM(H58:I58)</f>
        <v>234</v>
      </c>
    </row>
    <row r="59" spans="1:10" ht="12.75">
      <c r="A59" s="2" t="s">
        <v>8</v>
      </c>
      <c r="B59" s="11">
        <v>198</v>
      </c>
      <c r="C59" s="12">
        <v>187</v>
      </c>
      <c r="D59" s="12">
        <f>SUM(B59:C59)</f>
        <v>385</v>
      </c>
      <c r="E59" s="11">
        <v>4</v>
      </c>
      <c r="F59" s="12">
        <v>15</v>
      </c>
      <c r="G59" s="12">
        <f>SUM(E59:F59)</f>
        <v>19</v>
      </c>
      <c r="H59" s="11">
        <f t="shared" si="12"/>
        <v>202</v>
      </c>
      <c r="I59" s="12">
        <f t="shared" si="12"/>
        <v>202</v>
      </c>
      <c r="J59" s="12">
        <f>SUM(H59:I59)</f>
        <v>404</v>
      </c>
    </row>
    <row r="60" spans="1:10" ht="12.75">
      <c r="A60" s="2" t="s">
        <v>9</v>
      </c>
      <c r="B60" s="11">
        <v>40</v>
      </c>
      <c r="C60" s="12">
        <v>33</v>
      </c>
      <c r="D60" s="12">
        <f>SUM(B60:C60)</f>
        <v>73</v>
      </c>
      <c r="E60" s="11">
        <v>1</v>
      </c>
      <c r="F60" s="12">
        <v>5</v>
      </c>
      <c r="G60" s="12">
        <f>SUM(E60:F60)</f>
        <v>6</v>
      </c>
      <c r="H60" s="11">
        <f t="shared" si="12"/>
        <v>41</v>
      </c>
      <c r="I60" s="12">
        <f t="shared" si="12"/>
        <v>38</v>
      </c>
      <c r="J60" s="12">
        <f>SUM(H60:I60)</f>
        <v>79</v>
      </c>
    </row>
    <row r="61" spans="1:10" ht="12.75">
      <c r="A61" s="2" t="s">
        <v>10</v>
      </c>
      <c r="B61" s="11">
        <v>26</v>
      </c>
      <c r="C61" s="12">
        <v>37</v>
      </c>
      <c r="D61" s="12">
        <f>SUM(B61:C61)</f>
        <v>63</v>
      </c>
      <c r="E61" s="11">
        <v>1</v>
      </c>
      <c r="F61" s="12">
        <v>4</v>
      </c>
      <c r="G61" s="12">
        <f>SUM(E61:F61)</f>
        <v>5</v>
      </c>
      <c r="H61" s="11">
        <f t="shared" si="12"/>
        <v>27</v>
      </c>
      <c r="I61" s="12">
        <f t="shared" si="12"/>
        <v>41</v>
      </c>
      <c r="J61" s="12">
        <f>SUM(H61:I61)</f>
        <v>68</v>
      </c>
    </row>
    <row r="62" spans="1:10" s="17" customFormat="1" ht="12.75">
      <c r="A62" s="19" t="s">
        <v>4</v>
      </c>
      <c r="B62" s="15">
        <f aca="true" t="shared" si="13" ref="B62:J62">SUM(B58:B61)</f>
        <v>387</v>
      </c>
      <c r="C62" s="16">
        <f t="shared" si="13"/>
        <v>355</v>
      </c>
      <c r="D62" s="16">
        <f t="shared" si="13"/>
        <v>742</v>
      </c>
      <c r="E62" s="15">
        <f t="shared" si="13"/>
        <v>10</v>
      </c>
      <c r="F62" s="16">
        <f t="shared" si="13"/>
        <v>33</v>
      </c>
      <c r="G62" s="16">
        <f t="shared" si="13"/>
        <v>43</v>
      </c>
      <c r="H62" s="15">
        <f t="shared" si="13"/>
        <v>397</v>
      </c>
      <c r="I62" s="16">
        <f t="shared" si="13"/>
        <v>388</v>
      </c>
      <c r="J62" s="16">
        <f t="shared" si="13"/>
        <v>785</v>
      </c>
    </row>
    <row r="63" spans="1:10" ht="12.75">
      <c r="A63" s="2"/>
      <c r="B63" s="11"/>
      <c r="C63" s="12"/>
      <c r="D63" s="12"/>
      <c r="E63" s="11"/>
      <c r="F63" s="12"/>
      <c r="G63" s="12"/>
      <c r="H63" s="11"/>
      <c r="I63" s="12"/>
      <c r="J63" s="12"/>
    </row>
    <row r="64" spans="1:10" ht="12.75">
      <c r="A64" s="1" t="s">
        <v>15</v>
      </c>
      <c r="B64" s="11"/>
      <c r="C64" s="12"/>
      <c r="D64" s="12"/>
      <c r="E64" s="11"/>
      <c r="F64" s="12"/>
      <c r="G64" s="12"/>
      <c r="H64" s="11"/>
      <c r="I64" s="12"/>
      <c r="J64" s="12"/>
    </row>
    <row r="65" spans="1:10" ht="12.75">
      <c r="A65" s="2" t="s">
        <v>45</v>
      </c>
      <c r="B65" s="11">
        <v>146</v>
      </c>
      <c r="C65" s="12">
        <v>156</v>
      </c>
      <c r="D65" s="12">
        <f>SUM(B65:C65)</f>
        <v>302</v>
      </c>
      <c r="E65" s="11">
        <v>11</v>
      </c>
      <c r="F65" s="12">
        <v>17</v>
      </c>
      <c r="G65" s="12">
        <f>SUM(E65:F65)</f>
        <v>28</v>
      </c>
      <c r="H65" s="11">
        <f aca="true" t="shared" si="14" ref="H65:I68">SUM(B65,E65)</f>
        <v>157</v>
      </c>
      <c r="I65" s="12">
        <f t="shared" si="14"/>
        <v>173</v>
      </c>
      <c r="J65" s="12">
        <f>SUM(H65:I65)</f>
        <v>330</v>
      </c>
    </row>
    <row r="66" spans="1:10" ht="12.75">
      <c r="A66" s="2" t="s">
        <v>8</v>
      </c>
      <c r="B66" s="11">
        <v>22</v>
      </c>
      <c r="C66" s="12">
        <v>22</v>
      </c>
      <c r="D66" s="12">
        <f>SUM(B66:C66)</f>
        <v>44</v>
      </c>
      <c r="E66" s="11">
        <v>0</v>
      </c>
      <c r="F66" s="12">
        <v>3</v>
      </c>
      <c r="G66" s="12">
        <f>SUM(E66:F66)</f>
        <v>3</v>
      </c>
      <c r="H66" s="11">
        <f t="shared" si="14"/>
        <v>22</v>
      </c>
      <c r="I66" s="12">
        <f t="shared" si="14"/>
        <v>25</v>
      </c>
      <c r="J66" s="12">
        <f>SUM(H66:I66)</f>
        <v>47</v>
      </c>
    </row>
    <row r="67" spans="1:10" ht="12.75">
      <c r="A67" s="2" t="s">
        <v>9</v>
      </c>
      <c r="B67" s="11">
        <v>0</v>
      </c>
      <c r="C67" s="12">
        <v>0</v>
      </c>
      <c r="D67" s="12">
        <f>SUM(B67:C67)</f>
        <v>0</v>
      </c>
      <c r="E67" s="11">
        <v>0</v>
      </c>
      <c r="F67" s="12">
        <v>0</v>
      </c>
      <c r="G67" s="12">
        <f>SUM(E67:F67)</f>
        <v>0</v>
      </c>
      <c r="H67" s="11">
        <f t="shared" si="14"/>
        <v>0</v>
      </c>
      <c r="I67" s="12">
        <f t="shared" si="14"/>
        <v>0</v>
      </c>
      <c r="J67" s="12">
        <f>SUM(H67:I67)</f>
        <v>0</v>
      </c>
    </row>
    <row r="68" spans="1:10" ht="12.75">
      <c r="A68" s="22" t="s">
        <v>10</v>
      </c>
      <c r="B68" s="11">
        <v>1639</v>
      </c>
      <c r="C68" s="25">
        <v>1989</v>
      </c>
      <c r="D68" s="25">
        <f>SUM(B68:C68)</f>
        <v>3628</v>
      </c>
      <c r="E68" s="11">
        <v>43</v>
      </c>
      <c r="F68" s="25">
        <v>126</v>
      </c>
      <c r="G68" s="25">
        <f>SUM(E68:F68)</f>
        <v>169</v>
      </c>
      <c r="H68" s="11">
        <f t="shared" si="14"/>
        <v>1682</v>
      </c>
      <c r="I68" s="25">
        <f t="shared" si="14"/>
        <v>2115</v>
      </c>
      <c r="J68" s="25">
        <f>SUM(H68:I68)</f>
        <v>3797</v>
      </c>
    </row>
    <row r="69" spans="1:10" s="17" customFormat="1" ht="12.75">
      <c r="A69" s="19" t="s">
        <v>4</v>
      </c>
      <c r="B69" s="15">
        <f aca="true" t="shared" si="15" ref="B69:J69">SUM(B65:B68)</f>
        <v>1807</v>
      </c>
      <c r="C69" s="16">
        <f t="shared" si="15"/>
        <v>2167</v>
      </c>
      <c r="D69" s="16">
        <f t="shared" si="15"/>
        <v>3974</v>
      </c>
      <c r="E69" s="15">
        <f t="shared" si="15"/>
        <v>54</v>
      </c>
      <c r="F69" s="16">
        <f t="shared" si="15"/>
        <v>146</v>
      </c>
      <c r="G69" s="16">
        <f t="shared" si="15"/>
        <v>200</v>
      </c>
      <c r="H69" s="15">
        <f t="shared" si="15"/>
        <v>1861</v>
      </c>
      <c r="I69" s="16">
        <f t="shared" si="15"/>
        <v>2313</v>
      </c>
      <c r="J69" s="16">
        <f t="shared" si="15"/>
        <v>4174</v>
      </c>
    </row>
    <row r="70" spans="1:10" ht="12.75">
      <c r="A70" s="2"/>
      <c r="B70" s="11"/>
      <c r="C70" s="12"/>
      <c r="D70" s="12"/>
      <c r="E70" s="11"/>
      <c r="F70" s="12"/>
      <c r="G70" s="12"/>
      <c r="H70" s="11"/>
      <c r="I70" s="12"/>
      <c r="J70" s="12"/>
    </row>
    <row r="71" spans="1:10" ht="12.75">
      <c r="A71" s="1" t="s">
        <v>42</v>
      </c>
      <c r="B71" s="11"/>
      <c r="C71" s="12"/>
      <c r="D71" s="12"/>
      <c r="E71" s="11"/>
      <c r="F71" s="12"/>
      <c r="G71" s="12"/>
      <c r="H71" s="11"/>
      <c r="I71" s="12"/>
      <c r="J71" s="12"/>
    </row>
    <row r="72" spans="1:12" ht="12.75">
      <c r="A72" s="2" t="s">
        <v>45</v>
      </c>
      <c r="B72" s="11">
        <v>0</v>
      </c>
      <c r="C72" s="12">
        <v>0</v>
      </c>
      <c r="D72" s="12">
        <f>SUM(B72:C72)</f>
        <v>0</v>
      </c>
      <c r="E72" s="11">
        <v>487</v>
      </c>
      <c r="F72" s="12">
        <v>1625</v>
      </c>
      <c r="G72" s="12">
        <f>SUM(E72:F72)</f>
        <v>2112</v>
      </c>
      <c r="H72" s="11">
        <f aca="true" t="shared" si="16" ref="H72:I76">SUM(B72,E72)</f>
        <v>487</v>
      </c>
      <c r="I72" s="12">
        <f t="shared" si="16"/>
        <v>1625</v>
      </c>
      <c r="J72" s="12">
        <f>SUM(H72:I72)</f>
        <v>2112</v>
      </c>
      <c r="K72" s="12"/>
      <c r="L72" s="12"/>
    </row>
    <row r="73" spans="1:12" ht="12.75">
      <c r="A73" s="2" t="s">
        <v>8</v>
      </c>
      <c r="B73" s="11">
        <v>0</v>
      </c>
      <c r="C73" s="12">
        <v>0</v>
      </c>
      <c r="D73" s="12">
        <f>SUM(B73:C73)</f>
        <v>0</v>
      </c>
      <c r="E73" s="11">
        <v>547</v>
      </c>
      <c r="F73" s="12">
        <v>1847</v>
      </c>
      <c r="G73" s="12">
        <f>SUM(E73:F73)</f>
        <v>2394</v>
      </c>
      <c r="H73" s="11">
        <f t="shared" si="16"/>
        <v>547</v>
      </c>
      <c r="I73" s="12">
        <f t="shared" si="16"/>
        <v>1847</v>
      </c>
      <c r="J73" s="12">
        <f>SUM(H73:I73)</f>
        <v>2394</v>
      </c>
      <c r="K73" s="12"/>
      <c r="L73" s="12"/>
    </row>
    <row r="74" spans="1:12" ht="12.75">
      <c r="A74" s="2" t="s">
        <v>9</v>
      </c>
      <c r="B74" s="11">
        <v>0</v>
      </c>
      <c r="C74" s="12">
        <v>0</v>
      </c>
      <c r="D74" s="12">
        <f>SUM(B74:C74)</f>
        <v>0</v>
      </c>
      <c r="E74" s="11">
        <v>16</v>
      </c>
      <c r="F74" s="12">
        <v>51</v>
      </c>
      <c r="G74" s="12">
        <f>SUM(E74:F74)</f>
        <v>67</v>
      </c>
      <c r="H74" s="11">
        <f t="shared" si="16"/>
        <v>16</v>
      </c>
      <c r="I74" s="12">
        <f t="shared" si="16"/>
        <v>51</v>
      </c>
      <c r="J74" s="12">
        <f>SUM(H74:I74)</f>
        <v>67</v>
      </c>
      <c r="K74" s="12"/>
      <c r="L74" s="12"/>
    </row>
    <row r="75" spans="1:10" ht="12.75">
      <c r="A75" s="22" t="s">
        <v>10</v>
      </c>
      <c r="B75" s="11">
        <v>0</v>
      </c>
      <c r="C75" s="25">
        <v>0</v>
      </c>
      <c r="D75" s="25">
        <f>SUM(B75:C75)</f>
        <v>0</v>
      </c>
      <c r="E75" s="11">
        <v>67</v>
      </c>
      <c r="F75" s="25">
        <v>180</v>
      </c>
      <c r="G75" s="25">
        <f>SUM(E75:F75)</f>
        <v>247</v>
      </c>
      <c r="H75" s="11">
        <f t="shared" si="16"/>
        <v>67</v>
      </c>
      <c r="I75" s="25">
        <f t="shared" si="16"/>
        <v>180</v>
      </c>
      <c r="J75" s="25">
        <f>SUM(H75:I75)</f>
        <v>247</v>
      </c>
    </row>
    <row r="76" spans="1:10" ht="12.75">
      <c r="A76" s="22" t="s">
        <v>16</v>
      </c>
      <c r="B76" s="11">
        <v>0</v>
      </c>
      <c r="C76" s="25">
        <v>0</v>
      </c>
      <c r="D76" s="25">
        <f>SUM(B76:C76)</f>
        <v>0</v>
      </c>
      <c r="E76" s="11">
        <v>185</v>
      </c>
      <c r="F76" s="25">
        <v>132</v>
      </c>
      <c r="G76" s="25">
        <f>SUM(E76:F76)</f>
        <v>317</v>
      </c>
      <c r="H76" s="11">
        <f t="shared" si="16"/>
        <v>185</v>
      </c>
      <c r="I76" s="25">
        <f t="shared" si="16"/>
        <v>132</v>
      </c>
      <c r="J76" s="25">
        <f>SUM(H76:I76)</f>
        <v>317</v>
      </c>
    </row>
    <row r="77" spans="1:10" s="17" customFormat="1" ht="12.75">
      <c r="A77" s="19" t="s">
        <v>4</v>
      </c>
      <c r="B77" s="15">
        <f>SUM(B72:B76)</f>
        <v>0</v>
      </c>
      <c r="C77" s="16">
        <f aca="true" t="shared" si="17" ref="C77:J77">SUM(C72:C76)</f>
        <v>0</v>
      </c>
      <c r="D77" s="16">
        <f t="shared" si="17"/>
        <v>0</v>
      </c>
      <c r="E77" s="15">
        <f t="shared" si="17"/>
        <v>1302</v>
      </c>
      <c r="F77" s="16">
        <f t="shared" si="17"/>
        <v>3835</v>
      </c>
      <c r="G77" s="16">
        <f t="shared" si="17"/>
        <v>5137</v>
      </c>
      <c r="H77" s="15">
        <f t="shared" si="17"/>
        <v>1302</v>
      </c>
      <c r="I77" s="16">
        <f t="shared" si="17"/>
        <v>3835</v>
      </c>
      <c r="J77" s="16">
        <f t="shared" si="17"/>
        <v>5137</v>
      </c>
    </row>
    <row r="78" spans="1:10" s="17" customFormat="1" ht="6.75" customHeight="1">
      <c r="A78" s="19"/>
      <c r="B78" s="20"/>
      <c r="C78" s="21"/>
      <c r="D78" s="21"/>
      <c r="E78" s="20"/>
      <c r="F78" s="21"/>
      <c r="G78" s="21"/>
      <c r="H78" s="20"/>
      <c r="I78" s="21"/>
      <c r="J78" s="21"/>
    </row>
    <row r="79" spans="1:10" s="26" customFormat="1" ht="25.5">
      <c r="A79" s="211" t="s">
        <v>69</v>
      </c>
      <c r="B79" s="23">
        <f>SUM(B77,B69,B62,B55,B45,B42,B35,B28,B21,B14)</f>
        <v>42119</v>
      </c>
      <c r="C79" s="24">
        <f aca="true" t="shared" si="18" ref="C79:J79">SUM(C77,C69,C62,C55,C45,C42,C35,C28,C21,C14)</f>
        <v>90913</v>
      </c>
      <c r="D79" s="24">
        <f t="shared" si="18"/>
        <v>133032</v>
      </c>
      <c r="E79" s="23">
        <f t="shared" si="18"/>
        <v>5291</v>
      </c>
      <c r="F79" s="24">
        <f t="shared" si="18"/>
        <v>17207</v>
      </c>
      <c r="G79" s="212">
        <f t="shared" si="18"/>
        <v>22498</v>
      </c>
      <c r="H79" s="23">
        <f t="shared" si="18"/>
        <v>47410</v>
      </c>
      <c r="I79" s="24">
        <f t="shared" si="18"/>
        <v>108120</v>
      </c>
      <c r="J79" s="24">
        <f t="shared" si="18"/>
        <v>155530</v>
      </c>
    </row>
    <row r="80" spans="1:10" ht="7.5" customHeight="1">
      <c r="A80" s="223"/>
      <c r="B80" s="25"/>
      <c r="C80" s="25"/>
      <c r="D80" s="25"/>
      <c r="E80" s="11"/>
      <c r="F80" s="25"/>
      <c r="G80" s="196"/>
      <c r="H80" s="11"/>
      <c r="I80" s="25"/>
      <c r="J80" s="25"/>
    </row>
    <row r="81" spans="1:10" ht="27.75" customHeight="1">
      <c r="A81" s="211" t="s">
        <v>70</v>
      </c>
      <c r="B81" s="23">
        <f>SUM(B77,B69,B62,B55,B45,B42,B35,B28,B21,B14,B48)</f>
        <v>42225</v>
      </c>
      <c r="C81" s="24">
        <f aca="true" t="shared" si="19" ref="C81:J81">SUM(C77,C69,C62,C55,C45,C42,C35,C28,C21,C14,C48)</f>
        <v>91393</v>
      </c>
      <c r="D81" s="24">
        <f t="shared" si="19"/>
        <v>133618</v>
      </c>
      <c r="E81" s="23">
        <f t="shared" si="19"/>
        <v>5296</v>
      </c>
      <c r="F81" s="24">
        <f t="shared" si="19"/>
        <v>17260</v>
      </c>
      <c r="G81" s="212">
        <f t="shared" si="19"/>
        <v>22556</v>
      </c>
      <c r="H81" s="23">
        <f t="shared" si="19"/>
        <v>47521</v>
      </c>
      <c r="I81" s="24">
        <f t="shared" si="19"/>
        <v>108653</v>
      </c>
      <c r="J81" s="24">
        <f t="shared" si="19"/>
        <v>156174</v>
      </c>
    </row>
    <row r="82" spans="1:10" ht="12.75">
      <c r="A82" s="22"/>
      <c r="B82" s="25"/>
      <c r="C82" s="25"/>
      <c r="D82" s="25"/>
      <c r="E82" s="25"/>
      <c r="F82" s="25"/>
      <c r="G82" s="25"/>
      <c r="H82" s="25"/>
      <c r="I82" s="25"/>
      <c r="J82" s="25"/>
    </row>
    <row r="83" spans="1:10" ht="12.75">
      <c r="A83" s="191" t="s">
        <v>114</v>
      </c>
      <c r="B83" s="12"/>
      <c r="C83" s="12"/>
      <c r="D83" s="12"/>
      <c r="E83" s="12"/>
      <c r="F83" s="12"/>
      <c r="G83" s="12"/>
      <c r="H83" s="12"/>
      <c r="I83" s="12"/>
      <c r="J83" s="12"/>
    </row>
    <row r="84" spans="1:10" ht="12.75">
      <c r="A84" s="191" t="s">
        <v>21</v>
      </c>
      <c r="B84" s="12"/>
      <c r="C84" s="12"/>
      <c r="D84" s="12"/>
      <c r="E84" s="12"/>
      <c r="F84" s="12"/>
      <c r="G84" s="12"/>
      <c r="H84" s="12"/>
      <c r="I84" s="12"/>
      <c r="J84" s="12"/>
    </row>
    <row r="85" spans="1:10" ht="12.75">
      <c r="A85" s="239"/>
      <c r="B85" s="12"/>
      <c r="C85" s="12"/>
      <c r="D85" s="12"/>
      <c r="E85" s="12"/>
      <c r="F85" s="12"/>
      <c r="G85" s="12"/>
      <c r="H85" s="12"/>
      <c r="I85" s="12"/>
      <c r="J85" s="12"/>
    </row>
    <row r="86" spans="2:10" ht="12.75">
      <c r="B86" s="12"/>
      <c r="C86" s="12"/>
      <c r="D86" s="12"/>
      <c r="E86" s="12"/>
      <c r="F86" s="12"/>
      <c r="G86" s="12"/>
      <c r="H86" s="12"/>
      <c r="I86" s="12"/>
      <c r="J86" s="12"/>
    </row>
    <row r="87" spans="2:10" ht="12.75">
      <c r="B87" s="12"/>
      <c r="C87" s="12"/>
      <c r="D87" s="12"/>
      <c r="E87" s="12"/>
      <c r="F87" s="12"/>
      <c r="G87" s="12"/>
      <c r="H87" s="12"/>
      <c r="I87" s="12"/>
      <c r="J87" s="12"/>
    </row>
    <row r="88" spans="2:10" ht="12.75">
      <c r="B88" s="12"/>
      <c r="C88" s="12"/>
      <c r="D88" s="12"/>
      <c r="E88" s="12"/>
      <c r="F88" s="12"/>
      <c r="G88" s="12"/>
      <c r="H88" s="12"/>
      <c r="I88" s="12"/>
      <c r="J88" s="12"/>
    </row>
    <row r="89" spans="2:10" ht="12.75">
      <c r="B89" s="12"/>
      <c r="C89" s="12"/>
      <c r="D89" s="12"/>
      <c r="E89" s="12"/>
      <c r="F89" s="12"/>
      <c r="G89" s="12"/>
      <c r="H89" s="12"/>
      <c r="I89" s="12"/>
      <c r="J89" s="12"/>
    </row>
    <row r="90" spans="2:10" ht="12.75">
      <c r="B90" s="12"/>
      <c r="C90" s="12"/>
      <c r="D90" s="12"/>
      <c r="E90" s="12"/>
      <c r="F90" s="12"/>
      <c r="G90" s="12"/>
      <c r="H90" s="12"/>
      <c r="I90" s="12"/>
      <c r="J90" s="12"/>
    </row>
    <row r="91" spans="2:10" ht="12.75">
      <c r="B91" s="12"/>
      <c r="C91" s="12"/>
      <c r="D91" s="12"/>
      <c r="E91" s="12"/>
      <c r="F91" s="12"/>
      <c r="G91" s="12"/>
      <c r="H91" s="12"/>
      <c r="I91" s="12"/>
      <c r="J91" s="12"/>
    </row>
    <row r="92" spans="2:10" ht="12.75">
      <c r="B92" s="12"/>
      <c r="C92" s="12"/>
      <c r="D92" s="12"/>
      <c r="E92" s="12"/>
      <c r="F92" s="12"/>
      <c r="G92" s="12"/>
      <c r="H92" s="12"/>
      <c r="I92" s="12"/>
      <c r="J92" s="12"/>
    </row>
    <row r="93" spans="2:10" ht="12.75">
      <c r="B93" s="12"/>
      <c r="C93" s="12"/>
      <c r="D93" s="12"/>
      <c r="E93" s="12"/>
      <c r="F93" s="12"/>
      <c r="G93" s="12"/>
      <c r="H93" s="12"/>
      <c r="I93" s="12"/>
      <c r="J93" s="12"/>
    </row>
    <row r="94" spans="2:10" ht="12.75">
      <c r="B94" s="12"/>
      <c r="C94" s="12"/>
      <c r="D94" s="12"/>
      <c r="E94" s="12"/>
      <c r="F94" s="12"/>
      <c r="G94" s="12"/>
      <c r="H94" s="12"/>
      <c r="I94" s="12"/>
      <c r="J94" s="12"/>
    </row>
    <row r="95" spans="2:10" ht="12.75">
      <c r="B95" s="12"/>
      <c r="C95" s="12"/>
      <c r="D95" s="12"/>
      <c r="E95" s="12"/>
      <c r="F95" s="12"/>
      <c r="G95" s="12"/>
      <c r="H95" s="12"/>
      <c r="I95" s="12"/>
      <c r="J95" s="12"/>
    </row>
    <row r="96" spans="2:10" ht="12.75">
      <c r="B96" s="12"/>
      <c r="C96" s="12"/>
      <c r="D96" s="12"/>
      <c r="E96" s="12"/>
      <c r="F96" s="12"/>
      <c r="G96" s="12"/>
      <c r="H96" s="12"/>
      <c r="I96" s="12"/>
      <c r="J96" s="12"/>
    </row>
    <row r="97" spans="2:10" ht="12.75">
      <c r="B97" s="12"/>
      <c r="C97" s="12"/>
      <c r="D97" s="12"/>
      <c r="E97" s="12"/>
      <c r="F97" s="12"/>
      <c r="G97" s="12"/>
      <c r="H97" s="12"/>
      <c r="I97" s="12"/>
      <c r="J97" s="12"/>
    </row>
    <row r="98" spans="2:10" ht="12.75">
      <c r="B98" s="12"/>
      <c r="C98" s="12"/>
      <c r="D98" s="12"/>
      <c r="E98" s="12"/>
      <c r="F98" s="12"/>
      <c r="G98" s="12"/>
      <c r="H98" s="12"/>
      <c r="I98" s="12"/>
      <c r="J98" s="12"/>
    </row>
    <row r="99" spans="2:10" ht="12.75">
      <c r="B99" s="12"/>
      <c r="C99" s="12"/>
      <c r="D99" s="12"/>
      <c r="E99" s="12"/>
      <c r="F99" s="12"/>
      <c r="G99" s="12"/>
      <c r="H99" s="12"/>
      <c r="I99" s="12"/>
      <c r="J99" s="12"/>
    </row>
    <row r="100" spans="2:10" ht="12.75">
      <c r="B100" s="12"/>
      <c r="C100" s="12"/>
      <c r="D100" s="12"/>
      <c r="E100" s="12"/>
      <c r="F100" s="12"/>
      <c r="G100" s="12"/>
      <c r="H100" s="12"/>
      <c r="I100" s="12"/>
      <c r="J100" s="12"/>
    </row>
    <row r="101" spans="2:10" ht="12.75">
      <c r="B101" s="12"/>
      <c r="C101" s="12"/>
      <c r="D101" s="12"/>
      <c r="E101" s="12"/>
      <c r="F101" s="12"/>
      <c r="G101" s="12"/>
      <c r="H101" s="12"/>
      <c r="I101" s="12"/>
      <c r="J101" s="12"/>
    </row>
    <row r="102" spans="2:10" ht="12.75">
      <c r="B102" s="12"/>
      <c r="C102" s="12"/>
      <c r="D102" s="12"/>
      <c r="E102" s="12"/>
      <c r="F102" s="12"/>
      <c r="G102" s="12"/>
      <c r="H102" s="12"/>
      <c r="I102" s="12"/>
      <c r="J102" s="12"/>
    </row>
    <row r="103" spans="2:10" ht="12.75">
      <c r="B103" s="12"/>
      <c r="C103" s="12"/>
      <c r="D103" s="12"/>
      <c r="E103" s="12"/>
      <c r="F103" s="12"/>
      <c r="G103" s="12"/>
      <c r="H103" s="12"/>
      <c r="I103" s="12"/>
      <c r="J103" s="12"/>
    </row>
    <row r="104" spans="2:10" ht="12.75">
      <c r="B104" s="12"/>
      <c r="C104" s="12"/>
      <c r="D104" s="12"/>
      <c r="E104" s="12"/>
      <c r="F104" s="12"/>
      <c r="G104" s="12"/>
      <c r="H104" s="12"/>
      <c r="I104" s="12"/>
      <c r="J104" s="12"/>
    </row>
    <row r="105" spans="2:10" ht="12.75">
      <c r="B105" s="12"/>
      <c r="C105" s="12"/>
      <c r="D105" s="12"/>
      <c r="E105" s="12"/>
      <c r="F105" s="12"/>
      <c r="G105" s="12"/>
      <c r="H105" s="12"/>
      <c r="I105" s="12"/>
      <c r="J105" s="12"/>
    </row>
    <row r="106" spans="2:10" ht="12.75">
      <c r="B106" s="12"/>
      <c r="C106" s="12"/>
      <c r="D106" s="12"/>
      <c r="E106" s="12"/>
      <c r="F106" s="12"/>
      <c r="G106" s="12"/>
      <c r="H106" s="12"/>
      <c r="I106" s="12"/>
      <c r="J106" s="12"/>
    </row>
    <row r="107" spans="2:10" ht="12.75">
      <c r="B107" s="12"/>
      <c r="C107" s="12"/>
      <c r="D107" s="12"/>
      <c r="E107" s="12"/>
      <c r="F107" s="12"/>
      <c r="G107" s="12"/>
      <c r="H107" s="12"/>
      <c r="I107" s="12"/>
      <c r="J107" s="12"/>
    </row>
    <row r="108" spans="2:10" ht="12.75">
      <c r="B108" s="12"/>
      <c r="C108" s="12"/>
      <c r="D108" s="12"/>
      <c r="E108" s="12"/>
      <c r="F108" s="12"/>
      <c r="G108" s="12"/>
      <c r="H108" s="12"/>
      <c r="I108" s="12"/>
      <c r="J108" s="12"/>
    </row>
    <row r="109" spans="2:10" ht="12.75">
      <c r="B109" s="12"/>
      <c r="C109" s="12"/>
      <c r="D109" s="12"/>
      <c r="E109" s="12"/>
      <c r="F109" s="12"/>
      <c r="G109" s="12"/>
      <c r="H109" s="12"/>
      <c r="I109" s="12"/>
      <c r="J109" s="12"/>
    </row>
    <row r="110" spans="2:10" ht="12.75">
      <c r="B110" s="12"/>
      <c r="C110" s="12"/>
      <c r="D110" s="12"/>
      <c r="E110" s="12"/>
      <c r="F110" s="12"/>
      <c r="G110" s="12"/>
      <c r="H110" s="12"/>
      <c r="I110" s="12"/>
      <c r="J110" s="12"/>
    </row>
    <row r="111" spans="2:10" ht="12.75">
      <c r="B111" s="12"/>
      <c r="C111" s="12"/>
      <c r="D111" s="12"/>
      <c r="E111" s="12"/>
      <c r="F111" s="12"/>
      <c r="G111" s="12"/>
      <c r="H111" s="12"/>
      <c r="I111" s="12"/>
      <c r="J111" s="12"/>
    </row>
    <row r="112" spans="2:10" ht="12.75">
      <c r="B112" s="12"/>
      <c r="C112" s="12"/>
      <c r="D112" s="12"/>
      <c r="E112" s="12"/>
      <c r="F112" s="12"/>
      <c r="G112" s="12"/>
      <c r="H112" s="12"/>
      <c r="I112" s="12"/>
      <c r="J112" s="12"/>
    </row>
  </sheetData>
  <mergeCells count="1">
    <mergeCell ref="A2:J2"/>
  </mergeCells>
  <printOptions horizontalCentered="1"/>
  <pageMargins left="0.1968503937007874" right="0.1968503937007874" top="0.5905511811023623" bottom="0.3937007874015748" header="0.5118110236220472" footer="0.5118110236220472"/>
  <pageSetup horizontalDpi="300" verticalDpi="300" orientation="portrait" paperSize="9" scale="79"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sheetPr codeName="Blad3">
    <pageSetUpPr fitToPage="1"/>
  </sheetPr>
  <dimension ref="A1:I70"/>
  <sheetViews>
    <sheetView workbookViewId="0" topLeftCell="A1">
      <selection activeCell="B41" sqref="B41"/>
    </sheetView>
  </sheetViews>
  <sheetFormatPr defaultColWidth="9.140625" defaultRowHeight="12.75"/>
  <cols>
    <col min="1" max="1" width="32.28125" style="28" customWidth="1"/>
    <col min="2" max="9" width="10.140625" style="28" customWidth="1"/>
    <col min="10" max="16384" width="9.140625" style="28" customWidth="1"/>
  </cols>
  <sheetData>
    <row r="1" ht="12.75">
      <c r="A1" s="27" t="s">
        <v>81</v>
      </c>
    </row>
    <row r="2" spans="1:9" ht="12.75">
      <c r="A2" s="247" t="s">
        <v>17</v>
      </c>
      <c r="B2" s="247"/>
      <c r="C2" s="247"/>
      <c r="D2" s="247"/>
      <c r="E2" s="247"/>
      <c r="F2" s="247"/>
      <c r="G2" s="247"/>
      <c r="H2" s="247"/>
      <c r="I2" s="247"/>
    </row>
    <row r="3" spans="1:8" ht="12.75">
      <c r="A3" s="30"/>
      <c r="B3" s="31"/>
      <c r="C3" s="31"/>
      <c r="D3" s="31"/>
      <c r="E3" s="31"/>
      <c r="F3" s="31"/>
      <c r="G3" s="31"/>
      <c r="H3" s="31"/>
    </row>
    <row r="4" spans="1:9" ht="12.75">
      <c r="A4" s="247" t="s">
        <v>65</v>
      </c>
      <c r="B4" s="247"/>
      <c r="C4" s="247"/>
      <c r="D4" s="247"/>
      <c r="E4" s="247"/>
      <c r="F4" s="247"/>
      <c r="G4" s="247"/>
      <c r="H4" s="247"/>
      <c r="I4" s="247"/>
    </row>
    <row r="5" ht="13.5" thickBot="1">
      <c r="A5" s="29"/>
    </row>
    <row r="6" spans="1:9" ht="12.75">
      <c r="A6" s="32"/>
      <c r="B6" s="33"/>
      <c r="C6" s="33"/>
      <c r="D6" s="33"/>
      <c r="E6" s="33"/>
      <c r="F6" s="33"/>
      <c r="G6" s="33"/>
      <c r="H6" s="33"/>
      <c r="I6" s="33"/>
    </row>
    <row r="7" spans="1:9" s="142" customFormat="1" ht="12.75">
      <c r="A7" s="140"/>
      <c r="B7" s="141" t="s">
        <v>46</v>
      </c>
      <c r="C7" s="141" t="s">
        <v>47</v>
      </c>
      <c r="D7" s="141" t="s">
        <v>50</v>
      </c>
      <c r="E7" s="141" t="s">
        <v>51</v>
      </c>
      <c r="F7" s="141" t="s">
        <v>52</v>
      </c>
      <c r="G7" s="141" t="s">
        <v>53</v>
      </c>
      <c r="H7" s="141" t="s">
        <v>64</v>
      </c>
      <c r="I7" s="141" t="s">
        <v>83</v>
      </c>
    </row>
    <row r="8" spans="1:9" ht="12.75">
      <c r="A8" s="34"/>
      <c r="B8" s="35"/>
      <c r="C8" s="35"/>
      <c r="D8" s="35"/>
      <c r="E8" s="35"/>
      <c r="F8" s="35"/>
      <c r="G8" s="35"/>
      <c r="H8" s="35"/>
      <c r="I8" s="35"/>
    </row>
    <row r="9" spans="1:9" ht="12.75">
      <c r="A9" s="27"/>
      <c r="B9" s="36"/>
      <c r="C9" s="36"/>
      <c r="D9" s="36"/>
      <c r="E9" s="36"/>
      <c r="F9" s="36"/>
      <c r="G9" s="36"/>
      <c r="H9" s="36"/>
      <c r="I9" s="36"/>
    </row>
    <row r="10" spans="1:9" ht="12.75">
      <c r="A10" s="27" t="s">
        <v>7</v>
      </c>
      <c r="B10" s="35"/>
      <c r="C10" s="35"/>
      <c r="D10" s="35"/>
      <c r="E10" s="35"/>
      <c r="F10" s="35"/>
      <c r="G10" s="35"/>
      <c r="H10" s="35"/>
      <c r="I10" s="35"/>
    </row>
    <row r="11" spans="1:9" ht="12.75">
      <c r="A11" s="29" t="s">
        <v>18</v>
      </c>
      <c r="B11" s="37">
        <v>34406</v>
      </c>
      <c r="C11" s="37">
        <v>35424</v>
      </c>
      <c r="D11" s="37">
        <v>34936</v>
      </c>
      <c r="E11" s="37">
        <v>35181</v>
      </c>
      <c r="F11" s="37">
        <v>34489</v>
      </c>
      <c r="G11" s="37">
        <v>34147</v>
      </c>
      <c r="H11" s="37">
        <v>33936</v>
      </c>
      <c r="I11" s="37">
        <v>34239</v>
      </c>
    </row>
    <row r="12" spans="1:9" ht="12.75">
      <c r="A12" s="29" t="s">
        <v>19</v>
      </c>
      <c r="B12" s="37">
        <f>12585+16+19</f>
        <v>12620</v>
      </c>
      <c r="C12" s="37">
        <v>11822</v>
      </c>
      <c r="D12" s="37">
        <v>11918</v>
      </c>
      <c r="E12" s="37">
        <v>11298</v>
      </c>
      <c r="F12" s="37">
        <v>11530</v>
      </c>
      <c r="G12" s="37">
        <v>12081</v>
      </c>
      <c r="H12" s="37">
        <v>12652</v>
      </c>
      <c r="I12" s="37">
        <v>12567</v>
      </c>
    </row>
    <row r="13" spans="1:9" s="40" customFormat="1" ht="12.75">
      <c r="A13" s="38" t="s">
        <v>4</v>
      </c>
      <c r="B13" s="39">
        <f aca="true" t="shared" si="0" ref="B13:I13">SUM(B11:B12)</f>
        <v>47026</v>
      </c>
      <c r="C13" s="39">
        <f t="shared" si="0"/>
        <v>47246</v>
      </c>
      <c r="D13" s="39">
        <f t="shared" si="0"/>
        <v>46854</v>
      </c>
      <c r="E13" s="39">
        <f t="shared" si="0"/>
        <v>46479</v>
      </c>
      <c r="F13" s="39">
        <f t="shared" si="0"/>
        <v>46019</v>
      </c>
      <c r="G13" s="39">
        <f t="shared" si="0"/>
        <v>46228</v>
      </c>
      <c r="H13" s="39">
        <f t="shared" si="0"/>
        <v>46588</v>
      </c>
      <c r="I13" s="39">
        <f t="shared" si="0"/>
        <v>46806</v>
      </c>
    </row>
    <row r="14" spans="1:9" ht="12.75">
      <c r="A14" s="41"/>
      <c r="B14" s="37"/>
      <c r="C14" s="37"/>
      <c r="D14" s="37"/>
      <c r="E14" s="37"/>
      <c r="F14" s="37"/>
      <c r="G14" s="37"/>
      <c r="H14" s="37"/>
      <c r="I14" s="37"/>
    </row>
    <row r="15" spans="1:9" ht="12.75">
      <c r="A15" s="27" t="s">
        <v>11</v>
      </c>
      <c r="B15" s="37"/>
      <c r="C15" s="37"/>
      <c r="D15" s="37"/>
      <c r="E15" s="37"/>
      <c r="F15" s="37"/>
      <c r="G15" s="37"/>
      <c r="H15" s="37"/>
      <c r="I15" s="37"/>
    </row>
    <row r="16" spans="1:9" ht="12.75">
      <c r="A16" s="29" t="s">
        <v>18</v>
      </c>
      <c r="B16" s="37">
        <v>3895</v>
      </c>
      <c r="C16" s="37">
        <v>3972</v>
      </c>
      <c r="D16" s="37">
        <v>4026</v>
      </c>
      <c r="E16" s="37">
        <v>4116</v>
      </c>
      <c r="F16" s="37">
        <v>4115</v>
      </c>
      <c r="G16" s="37">
        <v>4129</v>
      </c>
      <c r="H16" s="37">
        <v>4226</v>
      </c>
      <c r="I16" s="37">
        <v>4292</v>
      </c>
    </row>
    <row r="17" spans="1:9" ht="12.75">
      <c r="A17" s="29" t="s">
        <v>19</v>
      </c>
      <c r="B17" s="37">
        <f>1337+8+22</f>
        <v>1367</v>
      </c>
      <c r="C17" s="37">
        <v>1406</v>
      </c>
      <c r="D17" s="37">
        <v>1439</v>
      </c>
      <c r="E17" s="37">
        <v>1479</v>
      </c>
      <c r="F17" s="37">
        <v>1569</v>
      </c>
      <c r="G17" s="37">
        <v>1660</v>
      </c>
      <c r="H17" s="37">
        <v>1669</v>
      </c>
      <c r="I17" s="37">
        <v>1713</v>
      </c>
    </row>
    <row r="18" spans="1:9" s="40" customFormat="1" ht="12.75">
      <c r="A18" s="38" t="s">
        <v>4</v>
      </c>
      <c r="B18" s="39">
        <f aca="true" t="shared" si="1" ref="B18:I18">SUM(B16:B17)</f>
        <v>5262</v>
      </c>
      <c r="C18" s="39">
        <f t="shared" si="1"/>
        <v>5378</v>
      </c>
      <c r="D18" s="39">
        <f t="shared" si="1"/>
        <v>5465</v>
      </c>
      <c r="E18" s="39">
        <f t="shared" si="1"/>
        <v>5595</v>
      </c>
      <c r="F18" s="39">
        <f t="shared" si="1"/>
        <v>5684</v>
      </c>
      <c r="G18" s="39">
        <f t="shared" si="1"/>
        <v>5789</v>
      </c>
      <c r="H18" s="39">
        <f t="shared" si="1"/>
        <v>5895</v>
      </c>
      <c r="I18" s="39">
        <f t="shared" si="1"/>
        <v>6005</v>
      </c>
    </row>
    <row r="19" spans="1:9" ht="12.75">
      <c r="A19" s="29"/>
      <c r="B19" s="37"/>
      <c r="C19" s="37"/>
      <c r="D19" s="37"/>
      <c r="E19" s="37"/>
      <c r="F19" s="37"/>
      <c r="G19" s="37"/>
      <c r="H19" s="37"/>
      <c r="I19" s="37"/>
    </row>
    <row r="20" spans="1:9" ht="12.75">
      <c r="A20" s="27" t="s">
        <v>12</v>
      </c>
      <c r="B20" s="37"/>
      <c r="C20" s="37"/>
      <c r="D20" s="37"/>
      <c r="E20" s="37"/>
      <c r="F20" s="37"/>
      <c r="G20" s="37"/>
      <c r="H20" s="37"/>
      <c r="I20" s="37"/>
    </row>
    <row r="21" spans="1:9" ht="12.75">
      <c r="A21" s="29" t="s">
        <v>18</v>
      </c>
      <c r="B21" s="37">
        <v>41043</v>
      </c>
      <c r="C21" s="37">
        <v>40997</v>
      </c>
      <c r="D21" s="37">
        <v>40992</v>
      </c>
      <c r="E21" s="37">
        <v>41243</v>
      </c>
      <c r="F21" s="37">
        <v>41333</v>
      </c>
      <c r="G21" s="37">
        <v>41563</v>
      </c>
      <c r="H21" s="37">
        <v>41766</v>
      </c>
      <c r="I21" s="37">
        <v>41614</v>
      </c>
    </row>
    <row r="22" spans="1:9" ht="12.75">
      <c r="A22" s="29" t="s">
        <v>19</v>
      </c>
      <c r="B22" s="37">
        <f>13800+15+7</f>
        <v>13822</v>
      </c>
      <c r="C22" s="37">
        <v>14385</v>
      </c>
      <c r="D22" s="37">
        <v>14981</v>
      </c>
      <c r="E22" s="37">
        <v>14145</v>
      </c>
      <c r="F22" s="37">
        <v>14501</v>
      </c>
      <c r="G22" s="37">
        <v>14692</v>
      </c>
      <c r="H22" s="37">
        <v>15429</v>
      </c>
      <c r="I22" s="37">
        <f>15208-237</f>
        <v>14971</v>
      </c>
    </row>
    <row r="23" spans="1:9" s="40" customFormat="1" ht="12.75">
      <c r="A23" s="38" t="s">
        <v>4</v>
      </c>
      <c r="B23" s="39">
        <f aca="true" t="shared" si="2" ref="B23:I23">SUM(B21:B22)</f>
        <v>54865</v>
      </c>
      <c r="C23" s="39">
        <f t="shared" si="2"/>
        <v>55382</v>
      </c>
      <c r="D23" s="39">
        <f t="shared" si="2"/>
        <v>55973</v>
      </c>
      <c r="E23" s="39">
        <f t="shared" si="2"/>
        <v>55388</v>
      </c>
      <c r="F23" s="39">
        <f t="shared" si="2"/>
        <v>55834</v>
      </c>
      <c r="G23" s="39">
        <f t="shared" si="2"/>
        <v>56255</v>
      </c>
      <c r="H23" s="39">
        <f t="shared" si="2"/>
        <v>57195</v>
      </c>
      <c r="I23" s="39">
        <f t="shared" si="2"/>
        <v>56585</v>
      </c>
    </row>
    <row r="24" spans="1:9" ht="12.75">
      <c r="A24" s="41"/>
      <c r="B24" s="37"/>
      <c r="C24" s="37"/>
      <c r="D24" s="37"/>
      <c r="E24" s="37"/>
      <c r="F24" s="37"/>
      <c r="G24" s="37"/>
      <c r="H24" s="37"/>
      <c r="I24" s="37"/>
    </row>
    <row r="25" spans="1:9" ht="12.75">
      <c r="A25" s="27" t="s">
        <v>13</v>
      </c>
      <c r="B25" s="37"/>
      <c r="C25" s="37"/>
      <c r="D25" s="37"/>
      <c r="E25" s="37"/>
      <c r="F25" s="37"/>
      <c r="G25" s="37"/>
      <c r="H25" s="37"/>
      <c r="I25" s="37"/>
    </row>
    <row r="26" spans="1:9" ht="12.75">
      <c r="A26" s="29" t="s">
        <v>18</v>
      </c>
      <c r="B26" s="37">
        <v>3526</v>
      </c>
      <c r="C26" s="37">
        <v>3525</v>
      </c>
      <c r="D26" s="37">
        <v>3542</v>
      </c>
      <c r="E26" s="37">
        <v>3650</v>
      </c>
      <c r="F26" s="37">
        <v>3745</v>
      </c>
      <c r="G26" s="37">
        <v>3848</v>
      </c>
      <c r="H26" s="37">
        <v>3981</v>
      </c>
      <c r="I26" s="37">
        <v>4112</v>
      </c>
    </row>
    <row r="27" spans="1:9" ht="12.75">
      <c r="A27" s="29" t="s">
        <v>19</v>
      </c>
      <c r="B27" s="37">
        <f>1187+11</f>
        <v>1198</v>
      </c>
      <c r="C27" s="37">
        <v>1302</v>
      </c>
      <c r="D27" s="37">
        <v>1393</v>
      </c>
      <c r="E27" s="37">
        <v>1470</v>
      </c>
      <c r="F27" s="37">
        <v>1624</v>
      </c>
      <c r="G27" s="37">
        <v>1717</v>
      </c>
      <c r="H27" s="37">
        <v>1715</v>
      </c>
      <c r="I27" s="37">
        <v>1809</v>
      </c>
    </row>
    <row r="28" spans="1:9" s="40" customFormat="1" ht="12.75">
      <c r="A28" s="38" t="s">
        <v>4</v>
      </c>
      <c r="B28" s="39">
        <f aca="true" t="shared" si="3" ref="B28:I28">SUM(B26:B27)</f>
        <v>4724</v>
      </c>
      <c r="C28" s="39">
        <f t="shared" si="3"/>
        <v>4827</v>
      </c>
      <c r="D28" s="39">
        <f t="shared" si="3"/>
        <v>4935</v>
      </c>
      <c r="E28" s="39">
        <f t="shared" si="3"/>
        <v>5120</v>
      </c>
      <c r="F28" s="39">
        <f t="shared" si="3"/>
        <v>5369</v>
      </c>
      <c r="G28" s="39">
        <f t="shared" si="3"/>
        <v>5565</v>
      </c>
      <c r="H28" s="39">
        <f t="shared" si="3"/>
        <v>5696</v>
      </c>
      <c r="I28" s="39">
        <f t="shared" si="3"/>
        <v>5921</v>
      </c>
    </row>
    <row r="29" spans="1:9" s="40" customFormat="1" ht="12.75">
      <c r="A29" s="38"/>
      <c r="B29" s="42"/>
      <c r="C29" s="42"/>
      <c r="D29" s="42"/>
      <c r="E29" s="42"/>
      <c r="F29" s="42"/>
      <c r="G29" s="42"/>
      <c r="H29" s="42"/>
      <c r="I29" s="42"/>
    </row>
    <row r="30" spans="1:9" s="40" customFormat="1" ht="12.75">
      <c r="A30" s="27" t="s">
        <v>113</v>
      </c>
      <c r="B30" s="42"/>
      <c r="C30" s="42"/>
      <c r="D30" s="42"/>
      <c r="E30" s="42"/>
      <c r="F30" s="42"/>
      <c r="G30" s="42"/>
      <c r="H30" s="42"/>
      <c r="I30" s="42"/>
    </row>
    <row r="31" spans="1:9" s="40" customFormat="1" ht="12.75">
      <c r="A31" s="29" t="s">
        <v>18</v>
      </c>
      <c r="B31" s="42"/>
      <c r="C31" s="42"/>
      <c r="D31" s="42"/>
      <c r="E31" s="42"/>
      <c r="F31" s="42"/>
      <c r="G31" s="42"/>
      <c r="H31" s="42"/>
      <c r="I31" s="37">
        <v>568</v>
      </c>
    </row>
    <row r="32" spans="1:9" s="40" customFormat="1" ht="12.75">
      <c r="A32" s="29" t="s">
        <v>19</v>
      </c>
      <c r="B32" s="42"/>
      <c r="C32" s="42"/>
      <c r="D32" s="42"/>
      <c r="E32" s="42"/>
      <c r="F32" s="42"/>
      <c r="G32" s="42"/>
      <c r="H32" s="42"/>
      <c r="I32" s="37">
        <f>6+26+24+158+2+16+0+5</f>
        <v>237</v>
      </c>
    </row>
    <row r="33" spans="1:9" s="40" customFormat="1" ht="12.75">
      <c r="A33" s="38" t="s">
        <v>4</v>
      </c>
      <c r="B33" s="231"/>
      <c r="C33" s="231"/>
      <c r="D33" s="231"/>
      <c r="E33" s="231"/>
      <c r="F33" s="231"/>
      <c r="G33" s="231"/>
      <c r="H33" s="231"/>
      <c r="I33" s="39">
        <f>SUM(I31:I32)</f>
        <v>805</v>
      </c>
    </row>
    <row r="34" spans="1:9" ht="12.75">
      <c r="A34" s="29"/>
      <c r="B34" s="37"/>
      <c r="C34" s="37"/>
      <c r="D34" s="37"/>
      <c r="E34" s="37"/>
      <c r="F34" s="37"/>
      <c r="G34" s="37"/>
      <c r="H34" s="37"/>
      <c r="I34" s="37"/>
    </row>
    <row r="35" spans="1:9" ht="12.75">
      <c r="A35" s="27" t="s">
        <v>14</v>
      </c>
      <c r="B35" s="37"/>
      <c r="C35" s="37"/>
      <c r="D35" s="37"/>
      <c r="E35" s="37"/>
      <c r="F35" s="37"/>
      <c r="G35" s="37"/>
      <c r="H35" s="37"/>
      <c r="I35" s="37"/>
    </row>
    <row r="36" spans="1:9" ht="12.75">
      <c r="A36" s="29" t="s">
        <v>18</v>
      </c>
      <c r="B36" s="37">
        <v>5389</v>
      </c>
      <c r="C36" s="37">
        <v>4815</v>
      </c>
      <c r="D36" s="37">
        <v>4715</v>
      </c>
      <c r="E36" s="37">
        <v>4706</v>
      </c>
      <c r="F36" s="37">
        <v>4662</v>
      </c>
      <c r="G36" s="37">
        <v>4696</v>
      </c>
      <c r="H36" s="37">
        <v>4674</v>
      </c>
      <c r="I36" s="37">
        <v>4749</v>
      </c>
    </row>
    <row r="37" spans="1:9" ht="12.75">
      <c r="A37" s="29" t="s">
        <v>19</v>
      </c>
      <c r="B37" s="37">
        <v>2584</v>
      </c>
      <c r="C37" s="37">
        <v>2647</v>
      </c>
      <c r="D37" s="37">
        <v>2759</v>
      </c>
      <c r="E37" s="37">
        <v>2792</v>
      </c>
      <c r="F37" s="37">
        <v>2881</v>
      </c>
      <c r="G37" s="37">
        <v>2941</v>
      </c>
      <c r="H37" s="37">
        <v>3137</v>
      </c>
      <c r="I37" s="37">
        <v>3159</v>
      </c>
    </row>
    <row r="38" spans="1:9" s="40" customFormat="1" ht="12.75">
      <c r="A38" s="38" t="s">
        <v>4</v>
      </c>
      <c r="B38" s="39">
        <f aca="true" t="shared" si="4" ref="B38:I38">SUM(B36:B37)</f>
        <v>7973</v>
      </c>
      <c r="C38" s="39">
        <f t="shared" si="4"/>
        <v>7462</v>
      </c>
      <c r="D38" s="39">
        <f t="shared" si="4"/>
        <v>7474</v>
      </c>
      <c r="E38" s="39">
        <f t="shared" si="4"/>
        <v>7498</v>
      </c>
      <c r="F38" s="39">
        <f t="shared" si="4"/>
        <v>7543</v>
      </c>
      <c r="G38" s="39">
        <f t="shared" si="4"/>
        <v>7637</v>
      </c>
      <c r="H38" s="39">
        <f t="shared" si="4"/>
        <v>7811</v>
      </c>
      <c r="I38" s="39">
        <f t="shared" si="4"/>
        <v>7908</v>
      </c>
    </row>
    <row r="39" spans="1:9" s="40" customFormat="1" ht="12.75">
      <c r="A39" s="38"/>
      <c r="B39" s="42"/>
      <c r="C39" s="42"/>
      <c r="D39" s="42"/>
      <c r="E39" s="42"/>
      <c r="F39" s="42"/>
      <c r="G39" s="42"/>
      <c r="H39" s="42"/>
      <c r="I39" s="42"/>
    </row>
    <row r="40" spans="1:9" s="40" customFormat="1" ht="12.75">
      <c r="A40" s="213" t="s">
        <v>68</v>
      </c>
      <c r="B40" s="42"/>
      <c r="C40" s="42"/>
      <c r="D40" s="42"/>
      <c r="E40" s="42"/>
      <c r="F40" s="42"/>
      <c r="G40" s="42"/>
      <c r="H40" s="42"/>
      <c r="I40" s="42"/>
    </row>
    <row r="41" spans="1:9" s="40" customFormat="1" ht="12.75">
      <c r="A41" s="29" t="s">
        <v>18</v>
      </c>
      <c r="B41" s="42"/>
      <c r="C41" s="42"/>
      <c r="D41" s="42"/>
      <c r="E41" s="42"/>
      <c r="F41" s="42"/>
      <c r="G41" s="42"/>
      <c r="H41" s="42">
        <v>0</v>
      </c>
      <c r="I41" s="42">
        <v>0</v>
      </c>
    </row>
    <row r="42" spans="1:9" s="40" customFormat="1" ht="12.75">
      <c r="A42" s="29" t="s">
        <v>19</v>
      </c>
      <c r="B42" s="42"/>
      <c r="C42" s="42"/>
      <c r="D42" s="42"/>
      <c r="E42" s="42"/>
      <c r="F42" s="42"/>
      <c r="G42" s="42"/>
      <c r="H42" s="37">
        <v>564</v>
      </c>
      <c r="I42" s="37">
        <v>586</v>
      </c>
    </row>
    <row r="43" spans="1:9" s="40" customFormat="1" ht="12.75">
      <c r="A43" s="38" t="s">
        <v>4</v>
      </c>
      <c r="B43" s="39"/>
      <c r="C43" s="39"/>
      <c r="D43" s="39"/>
      <c r="E43" s="39"/>
      <c r="F43" s="39"/>
      <c r="G43" s="231"/>
      <c r="H43" s="39">
        <f>H41+H42</f>
        <v>564</v>
      </c>
      <c r="I43" s="39">
        <f>I41+I42</f>
        <v>586</v>
      </c>
    </row>
    <row r="44" spans="1:9" ht="12.75">
      <c r="A44" s="29"/>
      <c r="B44" s="37"/>
      <c r="C44" s="37"/>
      <c r="D44" s="37"/>
      <c r="E44" s="37"/>
      <c r="F44" s="37"/>
      <c r="G44" s="37"/>
      <c r="H44" s="37"/>
      <c r="I44" s="37"/>
    </row>
    <row r="45" spans="1:9" ht="12.75">
      <c r="A45" s="1" t="s">
        <v>61</v>
      </c>
      <c r="B45" s="37"/>
      <c r="C45" s="37"/>
      <c r="D45" s="37"/>
      <c r="E45" s="37"/>
      <c r="F45" s="37"/>
      <c r="G45" s="37"/>
      <c r="H45" s="37"/>
      <c r="I45" s="37"/>
    </row>
    <row r="46" spans="1:9" ht="12.75">
      <c r="A46" s="29" t="s">
        <v>18</v>
      </c>
      <c r="B46" s="37">
        <v>1703</v>
      </c>
      <c r="C46" s="37">
        <v>1928</v>
      </c>
      <c r="D46" s="37">
        <v>2120</v>
      </c>
      <c r="E46" s="37">
        <v>2279</v>
      </c>
      <c r="F46" s="37">
        <v>2434</v>
      </c>
      <c r="G46" s="37">
        <v>2532</v>
      </c>
      <c r="H46" s="37">
        <v>2595</v>
      </c>
      <c r="I46" s="37">
        <v>2689</v>
      </c>
    </row>
    <row r="47" spans="1:9" ht="12.75">
      <c r="A47" s="29" t="s">
        <v>19</v>
      </c>
      <c r="B47" s="37">
        <v>1767</v>
      </c>
      <c r="C47" s="37">
        <v>1763</v>
      </c>
      <c r="D47" s="37">
        <v>1795</v>
      </c>
      <c r="E47" s="37">
        <v>1627</v>
      </c>
      <c r="F47" s="37">
        <v>1688</v>
      </c>
      <c r="G47" s="37">
        <v>1615</v>
      </c>
      <c r="H47" s="37">
        <v>1643</v>
      </c>
      <c r="I47" s="37">
        <v>1597</v>
      </c>
    </row>
    <row r="48" spans="1:9" s="40" customFormat="1" ht="12.75">
      <c r="A48" s="38" t="s">
        <v>4</v>
      </c>
      <c r="B48" s="39">
        <f aca="true" t="shared" si="5" ref="B48:I48">SUM(B46:B47)</f>
        <v>3470</v>
      </c>
      <c r="C48" s="39">
        <f t="shared" si="5"/>
        <v>3691</v>
      </c>
      <c r="D48" s="39">
        <f t="shared" si="5"/>
        <v>3915</v>
      </c>
      <c r="E48" s="39">
        <f t="shared" si="5"/>
        <v>3906</v>
      </c>
      <c r="F48" s="39">
        <f t="shared" si="5"/>
        <v>4122</v>
      </c>
      <c r="G48" s="39">
        <f t="shared" si="5"/>
        <v>4147</v>
      </c>
      <c r="H48" s="39">
        <f t="shared" si="5"/>
        <v>4238</v>
      </c>
      <c r="I48" s="39">
        <f t="shared" si="5"/>
        <v>4286</v>
      </c>
    </row>
    <row r="49" spans="1:9" ht="12.75">
      <c r="A49" s="29"/>
      <c r="B49" s="37"/>
      <c r="C49" s="37"/>
      <c r="D49" s="37"/>
      <c r="E49" s="37"/>
      <c r="F49" s="37"/>
      <c r="G49" s="37"/>
      <c r="H49" s="37"/>
      <c r="I49" s="37"/>
    </row>
    <row r="50" spans="1:9" ht="12.75">
      <c r="A50" s="1" t="s">
        <v>62</v>
      </c>
      <c r="B50" s="37"/>
      <c r="C50" s="37"/>
      <c r="D50" s="37"/>
      <c r="E50" s="37"/>
      <c r="F50" s="37"/>
      <c r="G50" s="37"/>
      <c r="H50" s="37"/>
      <c r="I50" s="37"/>
    </row>
    <row r="51" spans="1:9" ht="12.75">
      <c r="A51" s="29" t="s">
        <v>18</v>
      </c>
      <c r="B51" s="37">
        <v>266</v>
      </c>
      <c r="C51" s="37">
        <v>296</v>
      </c>
      <c r="D51" s="37">
        <v>311</v>
      </c>
      <c r="E51" s="37">
        <v>332</v>
      </c>
      <c r="F51" s="37">
        <v>355</v>
      </c>
      <c r="G51" s="37">
        <v>369</v>
      </c>
      <c r="H51" s="37">
        <v>380</v>
      </c>
      <c r="I51" s="37">
        <v>409</v>
      </c>
    </row>
    <row r="52" spans="1:9" ht="12.75">
      <c r="A52" s="29" t="s">
        <v>19</v>
      </c>
      <c r="B52" s="37">
        <v>372</v>
      </c>
      <c r="C52" s="37">
        <v>373</v>
      </c>
      <c r="D52" s="37">
        <v>368</v>
      </c>
      <c r="E52" s="37">
        <v>345</v>
      </c>
      <c r="F52" s="37">
        <v>347</v>
      </c>
      <c r="G52" s="37">
        <v>354</v>
      </c>
      <c r="H52" s="37">
        <v>333</v>
      </c>
      <c r="I52" s="37">
        <v>333</v>
      </c>
    </row>
    <row r="53" spans="1:9" s="40" customFormat="1" ht="12.75">
      <c r="A53" s="38" t="s">
        <v>4</v>
      </c>
      <c r="B53" s="39">
        <f aca="true" t="shared" si="6" ref="B53:I53">SUM(B51:B52)</f>
        <v>638</v>
      </c>
      <c r="C53" s="39">
        <f t="shared" si="6"/>
        <v>669</v>
      </c>
      <c r="D53" s="39">
        <f t="shared" si="6"/>
        <v>679</v>
      </c>
      <c r="E53" s="39">
        <f t="shared" si="6"/>
        <v>677</v>
      </c>
      <c r="F53" s="39">
        <f t="shared" si="6"/>
        <v>702</v>
      </c>
      <c r="G53" s="39">
        <f t="shared" si="6"/>
        <v>723</v>
      </c>
      <c r="H53" s="39">
        <f t="shared" si="6"/>
        <v>713</v>
      </c>
      <c r="I53" s="39">
        <f t="shared" si="6"/>
        <v>742</v>
      </c>
    </row>
    <row r="54" spans="1:9" s="40" customFormat="1" ht="12.75">
      <c r="A54" s="38"/>
      <c r="B54" s="42"/>
      <c r="C54" s="42"/>
      <c r="D54" s="42"/>
      <c r="E54" s="42"/>
      <c r="F54" s="42"/>
      <c r="G54" s="42"/>
      <c r="H54" s="42"/>
      <c r="I54" s="42"/>
    </row>
    <row r="55" spans="1:9" ht="12.75">
      <c r="A55" s="27" t="s">
        <v>15</v>
      </c>
      <c r="B55" s="37"/>
      <c r="C55" s="37"/>
      <c r="D55" s="37"/>
      <c r="E55" s="37"/>
      <c r="F55" s="37"/>
      <c r="G55" s="37"/>
      <c r="H55" s="37"/>
      <c r="I55" s="37"/>
    </row>
    <row r="56" spans="1:9" ht="12.75">
      <c r="A56" s="29" t="s">
        <v>18</v>
      </c>
      <c r="B56" s="37">
        <v>2596</v>
      </c>
      <c r="C56" s="37">
        <v>2653</v>
      </c>
      <c r="D56" s="37">
        <v>2695</v>
      </c>
      <c r="E56" s="37">
        <v>2742</v>
      </c>
      <c r="F56" s="37">
        <v>2784</v>
      </c>
      <c r="G56" s="37">
        <v>2870</v>
      </c>
      <c r="H56" s="37">
        <v>2913</v>
      </c>
      <c r="I56" s="37">
        <v>2974</v>
      </c>
    </row>
    <row r="57" spans="1:9" ht="12.75">
      <c r="A57" s="29" t="s">
        <v>19</v>
      </c>
      <c r="B57" s="37">
        <v>744</v>
      </c>
      <c r="C57" s="37">
        <v>811</v>
      </c>
      <c r="D57" s="37">
        <v>851</v>
      </c>
      <c r="E57" s="37">
        <v>916</v>
      </c>
      <c r="F57" s="37">
        <v>992</v>
      </c>
      <c r="G57" s="37">
        <v>1015</v>
      </c>
      <c r="H57" s="37">
        <v>1011</v>
      </c>
      <c r="I57" s="37">
        <v>1000</v>
      </c>
    </row>
    <row r="58" spans="1:9" s="40" customFormat="1" ht="12.75">
      <c r="A58" s="38" t="s">
        <v>4</v>
      </c>
      <c r="B58" s="39">
        <f aca="true" t="shared" si="7" ref="B58:I58">SUM(B56:B57)</f>
        <v>3340</v>
      </c>
      <c r="C58" s="39">
        <f t="shared" si="7"/>
        <v>3464</v>
      </c>
      <c r="D58" s="39">
        <f t="shared" si="7"/>
        <v>3546</v>
      </c>
      <c r="E58" s="39">
        <f t="shared" si="7"/>
        <v>3658</v>
      </c>
      <c r="F58" s="39">
        <f t="shared" si="7"/>
        <v>3776</v>
      </c>
      <c r="G58" s="39">
        <f t="shared" si="7"/>
        <v>3885</v>
      </c>
      <c r="H58" s="39">
        <f t="shared" si="7"/>
        <v>3924</v>
      </c>
      <c r="I58" s="39">
        <f t="shared" si="7"/>
        <v>3974</v>
      </c>
    </row>
    <row r="59" spans="1:9" ht="12.75">
      <c r="A59" s="175"/>
      <c r="B59" s="176"/>
      <c r="C59" s="176"/>
      <c r="D59" s="176"/>
      <c r="E59" s="176"/>
      <c r="F59" s="176"/>
      <c r="G59" s="176"/>
      <c r="H59" s="176"/>
      <c r="I59" s="176"/>
    </row>
    <row r="60" spans="1:9" ht="12.75">
      <c r="A60" s="43" t="s">
        <v>71</v>
      </c>
      <c r="B60" s="37"/>
      <c r="C60" s="37"/>
      <c r="D60" s="37"/>
      <c r="E60" s="37"/>
      <c r="F60" s="37"/>
      <c r="G60" s="37"/>
      <c r="H60" s="37"/>
      <c r="I60" s="37"/>
    </row>
    <row r="61" spans="1:9" ht="12.75">
      <c r="A61" s="29" t="s">
        <v>18</v>
      </c>
      <c r="B61" s="37">
        <f aca="true" t="shared" si="8" ref="B61:G62">SUM(B11,B16,B21,B26,B36,B46,B51,B56)</f>
        <v>92824</v>
      </c>
      <c r="C61" s="37">
        <f t="shared" si="8"/>
        <v>93610</v>
      </c>
      <c r="D61" s="37">
        <f t="shared" si="8"/>
        <v>93337</v>
      </c>
      <c r="E61" s="37">
        <f t="shared" si="8"/>
        <v>94249</v>
      </c>
      <c r="F61" s="37">
        <f t="shared" si="8"/>
        <v>93917</v>
      </c>
      <c r="G61" s="37">
        <f t="shared" si="8"/>
        <v>94154</v>
      </c>
      <c r="H61" s="37">
        <f>SUM(H11,H16,H21,H26,H31,H36,H46,H51,H56)</f>
        <v>94471</v>
      </c>
      <c r="I61" s="37">
        <f>SUM(I11,I16,I21,I26,I31,I36,I46,I51,I56)</f>
        <v>95646</v>
      </c>
    </row>
    <row r="62" spans="1:9" ht="12.75">
      <c r="A62" s="29" t="s">
        <v>19</v>
      </c>
      <c r="B62" s="37">
        <f t="shared" si="8"/>
        <v>34474</v>
      </c>
      <c r="C62" s="37">
        <f t="shared" si="8"/>
        <v>34509</v>
      </c>
      <c r="D62" s="37">
        <f t="shared" si="8"/>
        <v>35504</v>
      </c>
      <c r="E62" s="37">
        <f t="shared" si="8"/>
        <v>34072</v>
      </c>
      <c r="F62" s="37">
        <f t="shared" si="8"/>
        <v>35132</v>
      </c>
      <c r="G62" s="37">
        <f t="shared" si="8"/>
        <v>36075</v>
      </c>
      <c r="H62" s="37">
        <f>SUM(H12,H17,H22,H27,H32,H37,H47,H52,H57)</f>
        <v>37589</v>
      </c>
      <c r="I62" s="37">
        <f>SUM(I12,I17,I22,I27,I32,I37,I47,I52,I57)</f>
        <v>37386</v>
      </c>
    </row>
    <row r="63" spans="1:9" s="40" customFormat="1" ht="12.75">
      <c r="A63" s="38" t="s">
        <v>4</v>
      </c>
      <c r="B63" s="39">
        <f aca="true" t="shared" si="9" ref="B63:I63">SUM(B61:B62)</f>
        <v>127298</v>
      </c>
      <c r="C63" s="39">
        <f t="shared" si="9"/>
        <v>128119</v>
      </c>
      <c r="D63" s="39">
        <f t="shared" si="9"/>
        <v>128841</v>
      </c>
      <c r="E63" s="39">
        <f t="shared" si="9"/>
        <v>128321</v>
      </c>
      <c r="F63" s="39">
        <f t="shared" si="9"/>
        <v>129049</v>
      </c>
      <c r="G63" s="39">
        <f t="shared" si="9"/>
        <v>130229</v>
      </c>
      <c r="H63" s="39">
        <f t="shared" si="9"/>
        <v>132060</v>
      </c>
      <c r="I63" s="39">
        <f t="shared" si="9"/>
        <v>133032</v>
      </c>
    </row>
    <row r="64" spans="1:9" ht="12.75">
      <c r="A64" s="224"/>
      <c r="B64" s="37"/>
      <c r="C64" s="214"/>
      <c r="D64" s="214"/>
      <c r="E64" s="214"/>
      <c r="F64" s="214"/>
      <c r="G64" s="215"/>
      <c r="H64" s="37"/>
      <c r="I64" s="37"/>
    </row>
    <row r="65" spans="1:9" ht="12.75">
      <c r="A65" s="43" t="s">
        <v>72</v>
      </c>
      <c r="B65" s="37"/>
      <c r="C65" s="214"/>
      <c r="D65" s="214"/>
      <c r="E65" s="214"/>
      <c r="F65" s="214"/>
      <c r="G65" s="215"/>
      <c r="H65" s="37"/>
      <c r="I65" s="37"/>
    </row>
    <row r="66" spans="1:9" ht="12.75">
      <c r="A66" s="29" t="s">
        <v>18</v>
      </c>
      <c r="B66" s="225"/>
      <c r="C66"/>
      <c r="D66"/>
      <c r="E66"/>
      <c r="F66"/>
      <c r="G66"/>
      <c r="H66" s="37">
        <f>SUM(H11,H16,H21,H26,H31,H36,H46,H51,H56,H41)</f>
        <v>94471</v>
      </c>
      <c r="I66" s="37">
        <f>SUM(I11,I16,I21,I26,I31,I36,I46,I51,I56,I41)</f>
        <v>95646</v>
      </c>
    </row>
    <row r="67" spans="1:9" ht="12.75">
      <c r="A67" s="29" t="s">
        <v>19</v>
      </c>
      <c r="B67" s="225"/>
      <c r="C67"/>
      <c r="D67"/>
      <c r="E67"/>
      <c r="F67"/>
      <c r="G67"/>
      <c r="H67" s="37">
        <f>SUM(H12,H17,H22,H27,H32,H37,H47,H52,H57,H42)</f>
        <v>38153</v>
      </c>
      <c r="I67" s="37">
        <f>SUM(I12,I17,I22,I27,I32,I37,I47,I52,I57,I42)</f>
        <v>37972</v>
      </c>
    </row>
    <row r="68" spans="1:9" s="40" customFormat="1" ht="12.75">
      <c r="A68" s="38" t="s">
        <v>4</v>
      </c>
      <c r="B68" s="226"/>
      <c r="C68" s="227"/>
      <c r="D68" s="227"/>
      <c r="E68" s="227"/>
      <c r="F68" s="227"/>
      <c r="G68" s="228"/>
      <c r="H68" s="39">
        <f>SUM(H66:H67)</f>
        <v>132624</v>
      </c>
      <c r="I68" s="39">
        <f>SUM(I66:I67)</f>
        <v>133618</v>
      </c>
    </row>
    <row r="70" ht="12.75">
      <c r="A70" s="240" t="s">
        <v>114</v>
      </c>
    </row>
  </sheetData>
  <mergeCells count="2">
    <mergeCell ref="A2:I2"/>
    <mergeCell ref="A4:I4"/>
  </mergeCells>
  <printOptions horizontalCentered="1"/>
  <pageMargins left="0.1968503937007874" right="0.1968503937007874" top="0.5905511811023623" bottom="0.3937007874015748" header="0.5118110236220472" footer="0.5118110236220472"/>
  <pageSetup fitToHeight="1" fitToWidth="1" orientation="portrait" paperSize="9" scale="88"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sheetPr codeName="Blad4">
    <pageSetUpPr fitToPage="1"/>
  </sheetPr>
  <dimension ref="A1:I76"/>
  <sheetViews>
    <sheetView workbookViewId="0" topLeftCell="A1">
      <selection activeCell="A36" sqref="A36"/>
    </sheetView>
  </sheetViews>
  <sheetFormatPr defaultColWidth="9.140625" defaultRowHeight="12.75"/>
  <cols>
    <col min="1" max="1" width="30.140625" style="45" customWidth="1"/>
    <col min="2" max="8" width="10.140625" style="45" customWidth="1"/>
    <col min="9" max="16384" width="9.140625" style="45" customWidth="1"/>
  </cols>
  <sheetData>
    <row r="1" ht="12.75">
      <c r="A1" s="44" t="s">
        <v>81</v>
      </c>
    </row>
    <row r="2" spans="1:9" ht="12.75">
      <c r="A2" s="248" t="s">
        <v>20</v>
      </c>
      <c r="B2" s="248"/>
      <c r="C2" s="248"/>
      <c r="D2" s="248"/>
      <c r="E2" s="248"/>
      <c r="F2" s="248"/>
      <c r="G2" s="248"/>
      <c r="H2" s="248"/>
      <c r="I2" s="248"/>
    </row>
    <row r="3" spans="1:8" ht="12.75">
      <c r="A3" s="47"/>
      <c r="B3" s="48"/>
      <c r="C3" s="48"/>
      <c r="D3" s="48"/>
      <c r="E3" s="48"/>
      <c r="F3" s="48"/>
      <c r="G3" s="48"/>
      <c r="H3" s="48"/>
    </row>
    <row r="4" spans="1:9" ht="12.75">
      <c r="A4" s="248" t="s">
        <v>65</v>
      </c>
      <c r="B4" s="248"/>
      <c r="C4" s="248"/>
      <c r="D4" s="248"/>
      <c r="E4" s="248"/>
      <c r="F4" s="248"/>
      <c r="G4" s="248"/>
      <c r="H4" s="248"/>
      <c r="I4" s="248"/>
    </row>
    <row r="5" ht="13.5" thickBot="1">
      <c r="A5" s="46"/>
    </row>
    <row r="6" spans="1:9" ht="12.75">
      <c r="A6" s="49"/>
      <c r="B6" s="50"/>
      <c r="C6" s="50"/>
      <c r="D6" s="50"/>
      <c r="E6" s="50"/>
      <c r="F6" s="50"/>
      <c r="G6" s="50"/>
      <c r="H6" s="50"/>
      <c r="I6" s="50"/>
    </row>
    <row r="7" spans="1:9" s="142" customFormat="1" ht="12.75">
      <c r="A7" s="140"/>
      <c r="B7" s="141" t="s">
        <v>46</v>
      </c>
      <c r="C7" s="141" t="s">
        <v>47</v>
      </c>
      <c r="D7" s="141" t="s">
        <v>50</v>
      </c>
      <c r="E7" s="141" t="s">
        <v>51</v>
      </c>
      <c r="F7" s="141" t="s">
        <v>52</v>
      </c>
      <c r="G7" s="141" t="s">
        <v>53</v>
      </c>
      <c r="H7" s="141" t="s">
        <v>64</v>
      </c>
      <c r="I7" s="141" t="s">
        <v>83</v>
      </c>
    </row>
    <row r="8" spans="1:9" ht="12.75">
      <c r="A8" s="51"/>
      <c r="B8" s="52"/>
      <c r="C8" s="52"/>
      <c r="D8" s="52"/>
      <c r="E8" s="52"/>
      <c r="F8" s="52"/>
      <c r="G8" s="52"/>
      <c r="H8" s="52"/>
      <c r="I8" s="52"/>
    </row>
    <row r="9" spans="1:9" ht="12.75">
      <c r="A9" s="44"/>
      <c r="B9" s="53"/>
      <c r="C9" s="53"/>
      <c r="D9" s="53"/>
      <c r="E9" s="53"/>
      <c r="F9" s="53"/>
      <c r="G9" s="53"/>
      <c r="H9" s="53"/>
      <c r="I9" s="53"/>
    </row>
    <row r="10" spans="1:9" ht="12.75">
      <c r="A10" s="44" t="s">
        <v>7</v>
      </c>
      <c r="B10" s="52"/>
      <c r="C10" s="52"/>
      <c r="D10" s="52"/>
      <c r="E10" s="52"/>
      <c r="F10" s="52"/>
      <c r="G10" s="52"/>
      <c r="H10" s="52"/>
      <c r="I10" s="52"/>
    </row>
    <row r="11" spans="1:9" ht="12.75">
      <c r="A11" s="46" t="s">
        <v>18</v>
      </c>
      <c r="B11" s="54">
        <v>730</v>
      </c>
      <c r="C11" s="54">
        <v>1626</v>
      </c>
      <c r="D11" s="54">
        <v>1828</v>
      </c>
      <c r="E11" s="54">
        <v>1913</v>
      </c>
      <c r="F11" s="54">
        <v>2384</v>
      </c>
      <c r="G11" s="54">
        <v>2557</v>
      </c>
      <c r="H11" s="54">
        <v>2757</v>
      </c>
      <c r="I11" s="54">
        <v>2841</v>
      </c>
    </row>
    <row r="12" spans="1:9" ht="12.75">
      <c r="A12" s="46" t="s">
        <v>19</v>
      </c>
      <c r="B12" s="54">
        <f>797+40+645</f>
        <v>1482</v>
      </c>
      <c r="C12" s="54">
        <v>2304</v>
      </c>
      <c r="D12" s="54">
        <v>2100</v>
      </c>
      <c r="E12" s="54">
        <v>2030</v>
      </c>
      <c r="F12" s="54">
        <v>1588</v>
      </c>
      <c r="G12" s="54">
        <v>1543</v>
      </c>
      <c r="H12" s="54">
        <v>1637</v>
      </c>
      <c r="I12" s="54">
        <v>1650</v>
      </c>
    </row>
    <row r="13" spans="1:9" s="57" customFormat="1" ht="12.75">
      <c r="A13" s="55" t="s">
        <v>4</v>
      </c>
      <c r="B13" s="56">
        <f aca="true" t="shared" si="0" ref="B13:I13">SUM(B11:B12)</f>
        <v>2212</v>
      </c>
      <c r="C13" s="56">
        <f t="shared" si="0"/>
        <v>3930</v>
      </c>
      <c r="D13" s="56">
        <f t="shared" si="0"/>
        <v>3928</v>
      </c>
      <c r="E13" s="56">
        <f t="shared" si="0"/>
        <v>3943</v>
      </c>
      <c r="F13" s="56">
        <f t="shared" si="0"/>
        <v>3972</v>
      </c>
      <c r="G13" s="56">
        <f t="shared" si="0"/>
        <v>4100</v>
      </c>
      <c r="H13" s="56">
        <f t="shared" si="0"/>
        <v>4394</v>
      </c>
      <c r="I13" s="56">
        <f t="shared" si="0"/>
        <v>4491</v>
      </c>
    </row>
    <row r="14" spans="1:9" ht="12.75">
      <c r="A14" s="58"/>
      <c r="B14" s="54"/>
      <c r="C14" s="54"/>
      <c r="D14" s="54"/>
      <c r="E14" s="54"/>
      <c r="F14" s="54"/>
      <c r="G14" s="54"/>
      <c r="H14" s="54"/>
      <c r="I14" s="54"/>
    </row>
    <row r="15" spans="1:9" ht="12.75">
      <c r="A15" s="44" t="s">
        <v>11</v>
      </c>
      <c r="B15" s="54"/>
      <c r="C15" s="54"/>
      <c r="D15" s="54"/>
      <c r="E15" s="54"/>
      <c r="F15" s="54"/>
      <c r="G15" s="54"/>
      <c r="H15" s="54"/>
      <c r="I15" s="54"/>
    </row>
    <row r="16" spans="1:9" ht="12.75">
      <c r="A16" s="46" t="s">
        <v>18</v>
      </c>
      <c r="B16" s="54">
        <v>1363</v>
      </c>
      <c r="C16" s="54">
        <v>1517</v>
      </c>
      <c r="D16" s="54">
        <v>1554</v>
      </c>
      <c r="E16" s="54">
        <v>1629</v>
      </c>
      <c r="F16" s="54">
        <v>1698</v>
      </c>
      <c r="G16" s="54">
        <v>1739</v>
      </c>
      <c r="H16" s="54">
        <v>1328</v>
      </c>
      <c r="I16" s="54">
        <v>1361</v>
      </c>
    </row>
    <row r="17" spans="1:9" ht="12.75">
      <c r="A17" s="46" t="s">
        <v>19</v>
      </c>
      <c r="B17" s="54">
        <f>718+2+65</f>
        <v>785</v>
      </c>
      <c r="C17" s="54">
        <v>837</v>
      </c>
      <c r="D17" s="54">
        <v>909</v>
      </c>
      <c r="E17" s="54">
        <v>889</v>
      </c>
      <c r="F17" s="54">
        <v>908</v>
      </c>
      <c r="G17" s="54">
        <v>929</v>
      </c>
      <c r="H17" s="54">
        <v>698</v>
      </c>
      <c r="I17" s="54">
        <v>742</v>
      </c>
    </row>
    <row r="18" spans="1:9" s="57" customFormat="1" ht="12.75">
      <c r="A18" s="55" t="s">
        <v>4</v>
      </c>
      <c r="B18" s="56">
        <f aca="true" t="shared" si="1" ref="B18:I18">SUM(B16:B17)</f>
        <v>2148</v>
      </c>
      <c r="C18" s="56">
        <f t="shared" si="1"/>
        <v>2354</v>
      </c>
      <c r="D18" s="56">
        <f t="shared" si="1"/>
        <v>2463</v>
      </c>
      <c r="E18" s="56">
        <f t="shared" si="1"/>
        <v>2518</v>
      </c>
      <c r="F18" s="56">
        <f t="shared" si="1"/>
        <v>2606</v>
      </c>
      <c r="G18" s="56">
        <f t="shared" si="1"/>
        <v>2668</v>
      </c>
      <c r="H18" s="56">
        <f t="shared" si="1"/>
        <v>2026</v>
      </c>
      <c r="I18" s="56">
        <f t="shared" si="1"/>
        <v>2103</v>
      </c>
    </row>
    <row r="19" spans="1:9" ht="12.75">
      <c r="A19" s="46"/>
      <c r="B19" s="54"/>
      <c r="C19" s="54"/>
      <c r="D19" s="54"/>
      <c r="E19" s="54"/>
      <c r="F19" s="54"/>
      <c r="G19" s="54"/>
      <c r="H19" s="54"/>
      <c r="I19" s="54"/>
    </row>
    <row r="20" spans="1:9" ht="12.75">
      <c r="A20" s="44" t="s">
        <v>12</v>
      </c>
      <c r="B20" s="54"/>
      <c r="C20" s="54"/>
      <c r="D20" s="54"/>
      <c r="E20" s="54"/>
      <c r="F20" s="54"/>
      <c r="G20" s="54"/>
      <c r="H20" s="54"/>
      <c r="I20" s="54"/>
    </row>
    <row r="21" spans="1:9" ht="12.75">
      <c r="A21" s="46" t="s">
        <v>18</v>
      </c>
      <c r="B21" s="54">
        <v>5100</v>
      </c>
      <c r="C21" s="54">
        <v>5022</v>
      </c>
      <c r="D21" s="54">
        <v>5140</v>
      </c>
      <c r="E21" s="54">
        <v>5145</v>
      </c>
      <c r="F21" s="54">
        <v>5073</v>
      </c>
      <c r="G21" s="54">
        <v>5062</v>
      </c>
      <c r="H21" s="54">
        <v>5021</v>
      </c>
      <c r="I21" s="54">
        <v>4981</v>
      </c>
    </row>
    <row r="22" spans="1:9" ht="12.75">
      <c r="A22" s="46" t="s">
        <v>19</v>
      </c>
      <c r="B22" s="54">
        <f>1842+31</f>
        <v>1873</v>
      </c>
      <c r="C22" s="54">
        <v>1839</v>
      </c>
      <c r="D22" s="54">
        <v>1730</v>
      </c>
      <c r="E22" s="54">
        <v>1584</v>
      </c>
      <c r="F22" s="54">
        <v>1668</v>
      </c>
      <c r="G22" s="54">
        <v>1760</v>
      </c>
      <c r="H22" s="54">
        <v>1768</v>
      </c>
      <c r="I22" s="54">
        <v>1803</v>
      </c>
    </row>
    <row r="23" spans="1:9" s="57" customFormat="1" ht="12.75">
      <c r="A23" s="55" t="s">
        <v>4</v>
      </c>
      <c r="B23" s="56">
        <f aca="true" t="shared" si="2" ref="B23:I23">SUM(B21:B22)</f>
        <v>6973</v>
      </c>
      <c r="C23" s="56">
        <f t="shared" si="2"/>
        <v>6861</v>
      </c>
      <c r="D23" s="56">
        <f t="shared" si="2"/>
        <v>6870</v>
      </c>
      <c r="E23" s="56">
        <f t="shared" si="2"/>
        <v>6729</v>
      </c>
      <c r="F23" s="56">
        <f t="shared" si="2"/>
        <v>6741</v>
      </c>
      <c r="G23" s="56">
        <f t="shared" si="2"/>
        <v>6822</v>
      </c>
      <c r="H23" s="56">
        <f t="shared" si="2"/>
        <v>6789</v>
      </c>
      <c r="I23" s="56">
        <f t="shared" si="2"/>
        <v>6784</v>
      </c>
    </row>
    <row r="24" spans="1:9" ht="12.75">
      <c r="A24" s="58"/>
      <c r="B24" s="54"/>
      <c r="C24" s="54"/>
      <c r="D24" s="54"/>
      <c r="E24" s="54"/>
      <c r="F24" s="54"/>
      <c r="G24" s="54"/>
      <c r="H24" s="54"/>
      <c r="I24" s="54"/>
    </row>
    <row r="25" spans="1:9" ht="12.75">
      <c r="A25" s="44" t="s">
        <v>13</v>
      </c>
      <c r="B25" s="54"/>
      <c r="C25" s="54"/>
      <c r="D25" s="54"/>
      <c r="E25" s="54"/>
      <c r="F25" s="54"/>
      <c r="G25" s="54"/>
      <c r="H25" s="54"/>
      <c r="I25" s="54"/>
    </row>
    <row r="26" spans="1:9" ht="12.75">
      <c r="A26" s="46" t="s">
        <v>18</v>
      </c>
      <c r="B26" s="54">
        <v>527</v>
      </c>
      <c r="C26" s="54">
        <v>526</v>
      </c>
      <c r="D26" s="54">
        <v>529</v>
      </c>
      <c r="E26" s="54">
        <v>576</v>
      </c>
      <c r="F26" s="54">
        <v>596</v>
      </c>
      <c r="G26" s="54">
        <v>634</v>
      </c>
      <c r="H26" s="54">
        <v>648</v>
      </c>
      <c r="I26" s="54">
        <v>678</v>
      </c>
    </row>
    <row r="27" spans="1:9" ht="12.75">
      <c r="A27" s="46" t="s">
        <v>19</v>
      </c>
      <c r="B27" s="54">
        <f>226+11</f>
        <v>237</v>
      </c>
      <c r="C27" s="54">
        <v>251</v>
      </c>
      <c r="D27" s="54">
        <v>264</v>
      </c>
      <c r="E27" s="54">
        <v>291</v>
      </c>
      <c r="F27" s="54">
        <v>335</v>
      </c>
      <c r="G27" s="54">
        <v>366</v>
      </c>
      <c r="H27" s="54">
        <v>365</v>
      </c>
      <c r="I27" s="54">
        <v>370</v>
      </c>
    </row>
    <row r="28" spans="1:9" s="57" customFormat="1" ht="12.75">
      <c r="A28" s="55" t="s">
        <v>4</v>
      </c>
      <c r="B28" s="56">
        <f aca="true" t="shared" si="3" ref="B28:I28">SUM(B26:B27)</f>
        <v>764</v>
      </c>
      <c r="C28" s="56">
        <f t="shared" si="3"/>
        <v>777</v>
      </c>
      <c r="D28" s="56">
        <f t="shared" si="3"/>
        <v>793</v>
      </c>
      <c r="E28" s="56">
        <f t="shared" si="3"/>
        <v>867</v>
      </c>
      <c r="F28" s="56">
        <f t="shared" si="3"/>
        <v>931</v>
      </c>
      <c r="G28" s="56">
        <f t="shared" si="3"/>
        <v>1000</v>
      </c>
      <c r="H28" s="56">
        <f t="shared" si="3"/>
        <v>1013</v>
      </c>
      <c r="I28" s="56">
        <f t="shared" si="3"/>
        <v>1048</v>
      </c>
    </row>
    <row r="29" spans="1:9" s="57" customFormat="1" ht="12.75">
      <c r="A29" s="55"/>
      <c r="B29" s="216"/>
      <c r="C29" s="216"/>
      <c r="D29" s="216"/>
      <c r="E29" s="216"/>
      <c r="F29" s="216"/>
      <c r="G29" s="216"/>
      <c r="H29" s="216"/>
      <c r="I29" s="216"/>
    </row>
    <row r="30" spans="1:9" s="57" customFormat="1" ht="12.75">
      <c r="A30" s="44" t="s">
        <v>113</v>
      </c>
      <c r="B30" s="216"/>
      <c r="C30" s="216"/>
      <c r="D30" s="216"/>
      <c r="E30" s="216"/>
      <c r="F30" s="216"/>
      <c r="G30" s="216"/>
      <c r="H30" s="216"/>
      <c r="I30" s="216"/>
    </row>
    <row r="31" spans="1:9" s="57" customFormat="1" ht="12.75">
      <c r="A31" s="46" t="s">
        <v>18</v>
      </c>
      <c r="B31" s="216"/>
      <c r="C31" s="216"/>
      <c r="D31" s="216"/>
      <c r="E31" s="216"/>
      <c r="F31" s="216"/>
      <c r="G31" s="216"/>
      <c r="H31" s="216"/>
      <c r="I31" s="216">
        <v>13</v>
      </c>
    </row>
    <row r="32" spans="1:9" s="57" customFormat="1" ht="12.75">
      <c r="A32" s="46" t="s">
        <v>19</v>
      </c>
      <c r="B32" s="216"/>
      <c r="C32" s="216"/>
      <c r="D32" s="216"/>
      <c r="E32" s="216"/>
      <c r="F32" s="216"/>
      <c r="G32" s="216"/>
      <c r="H32" s="216"/>
      <c r="I32" s="216">
        <v>7</v>
      </c>
    </row>
    <row r="33" spans="1:9" s="57" customFormat="1" ht="12.75">
      <c r="A33" s="55" t="s">
        <v>4</v>
      </c>
      <c r="B33" s="56"/>
      <c r="C33" s="56"/>
      <c r="D33" s="56"/>
      <c r="E33" s="56"/>
      <c r="F33" s="56"/>
      <c r="G33" s="56"/>
      <c r="H33" s="232"/>
      <c r="I33" s="56">
        <f>SUM(I31:I32)</f>
        <v>20</v>
      </c>
    </row>
    <row r="34" spans="1:9" ht="12.75">
      <c r="A34" s="46"/>
      <c r="B34" s="54"/>
      <c r="C34" s="54"/>
      <c r="D34" s="54"/>
      <c r="E34" s="54"/>
      <c r="F34" s="54"/>
      <c r="G34" s="54"/>
      <c r="H34" s="54"/>
      <c r="I34" s="54"/>
    </row>
    <row r="35" spans="1:9" ht="12.75">
      <c r="A35" s="44" t="s">
        <v>14</v>
      </c>
      <c r="B35" s="54"/>
      <c r="C35" s="54"/>
      <c r="D35" s="54"/>
      <c r="E35" s="54"/>
      <c r="F35" s="54"/>
      <c r="G35" s="54"/>
      <c r="H35" s="54"/>
      <c r="I35" s="54"/>
    </row>
    <row r="36" spans="1:9" ht="12.75">
      <c r="A36" s="46" t="s">
        <v>18</v>
      </c>
      <c r="B36" s="54">
        <v>1091</v>
      </c>
      <c r="C36" s="54">
        <v>1100</v>
      </c>
      <c r="D36" s="54">
        <v>1150</v>
      </c>
      <c r="E36" s="54">
        <v>1175</v>
      </c>
      <c r="F36" s="54">
        <v>1211</v>
      </c>
      <c r="G36" s="54">
        <v>1276</v>
      </c>
      <c r="H36" s="54">
        <v>1336</v>
      </c>
      <c r="I36" s="54">
        <v>1354</v>
      </c>
    </row>
    <row r="37" spans="1:9" ht="12.75">
      <c r="A37" s="46" t="s">
        <v>19</v>
      </c>
      <c r="B37" s="54">
        <v>498</v>
      </c>
      <c r="C37" s="54">
        <v>535</v>
      </c>
      <c r="D37" s="54">
        <v>530</v>
      </c>
      <c r="E37" s="54">
        <v>563</v>
      </c>
      <c r="F37" s="54">
        <v>600</v>
      </c>
      <c r="G37" s="54">
        <v>648</v>
      </c>
      <c r="H37" s="54">
        <v>691</v>
      </c>
      <c r="I37" s="54">
        <v>779</v>
      </c>
    </row>
    <row r="38" spans="1:9" s="57" customFormat="1" ht="12.75">
      <c r="A38" s="55" t="s">
        <v>4</v>
      </c>
      <c r="B38" s="56">
        <f aca="true" t="shared" si="4" ref="B38:I38">SUM(B36:B37)</f>
        <v>1589</v>
      </c>
      <c r="C38" s="56">
        <f t="shared" si="4"/>
        <v>1635</v>
      </c>
      <c r="D38" s="56">
        <f t="shared" si="4"/>
        <v>1680</v>
      </c>
      <c r="E38" s="56">
        <f t="shared" si="4"/>
        <v>1738</v>
      </c>
      <c r="F38" s="56">
        <f t="shared" si="4"/>
        <v>1811</v>
      </c>
      <c r="G38" s="56">
        <f t="shared" si="4"/>
        <v>1924</v>
      </c>
      <c r="H38" s="56">
        <f t="shared" si="4"/>
        <v>2027</v>
      </c>
      <c r="I38" s="56">
        <f t="shared" si="4"/>
        <v>2133</v>
      </c>
    </row>
    <row r="39" spans="1:9" ht="12.75">
      <c r="A39" s="46"/>
      <c r="B39" s="54"/>
      <c r="C39" s="54"/>
      <c r="D39" s="54"/>
      <c r="E39" s="54"/>
      <c r="F39" s="54"/>
      <c r="G39" s="54"/>
      <c r="H39" s="54"/>
      <c r="I39" s="54"/>
    </row>
    <row r="40" spans="1:9" ht="12.75">
      <c r="A40" s="1" t="s">
        <v>68</v>
      </c>
      <c r="B40" s="54"/>
      <c r="C40" s="54"/>
      <c r="D40" s="54"/>
      <c r="E40" s="54"/>
      <c r="F40" s="54"/>
      <c r="G40" s="54"/>
      <c r="H40" s="54"/>
      <c r="I40" s="54"/>
    </row>
    <row r="41" spans="1:9" ht="12.75">
      <c r="A41" s="46" t="s">
        <v>18</v>
      </c>
      <c r="B41" s="54"/>
      <c r="C41" s="54"/>
      <c r="D41" s="54"/>
      <c r="E41" s="54"/>
      <c r="F41" s="54"/>
      <c r="G41" s="54"/>
      <c r="H41" s="54">
        <v>0</v>
      </c>
      <c r="I41" s="54">
        <v>0</v>
      </c>
    </row>
    <row r="42" spans="1:9" ht="12.75">
      <c r="A42" s="46" t="s">
        <v>19</v>
      </c>
      <c r="B42" s="54"/>
      <c r="C42" s="54"/>
      <c r="D42" s="54"/>
      <c r="E42" s="54"/>
      <c r="F42" s="54"/>
      <c r="G42" s="54"/>
      <c r="H42" s="54">
        <v>55</v>
      </c>
      <c r="I42" s="54">
        <v>58</v>
      </c>
    </row>
    <row r="43" spans="1:9" ht="12.75">
      <c r="A43" s="55" t="s">
        <v>4</v>
      </c>
      <c r="B43" s="233"/>
      <c r="C43" s="233"/>
      <c r="D43" s="233"/>
      <c r="E43" s="233"/>
      <c r="F43" s="233"/>
      <c r="G43" s="234"/>
      <c r="H43" s="56">
        <f>H41+H42</f>
        <v>55</v>
      </c>
      <c r="I43" s="56">
        <f>I41+I42</f>
        <v>58</v>
      </c>
    </row>
    <row r="44" spans="1:9" ht="12.75">
      <c r="A44" s="46"/>
      <c r="B44" s="54"/>
      <c r="C44" s="54"/>
      <c r="D44" s="54"/>
      <c r="E44" s="54"/>
      <c r="F44" s="54"/>
      <c r="G44" s="54"/>
      <c r="H44" s="54"/>
      <c r="I44" s="54"/>
    </row>
    <row r="45" spans="1:9" ht="12.75">
      <c r="A45" s="1" t="s">
        <v>61</v>
      </c>
      <c r="B45" s="54"/>
      <c r="C45" s="54"/>
      <c r="D45" s="54"/>
      <c r="E45" s="54"/>
      <c r="F45" s="54"/>
      <c r="G45" s="54"/>
      <c r="H45" s="54"/>
      <c r="I45" s="54"/>
    </row>
    <row r="46" spans="1:9" ht="12.75">
      <c r="A46" s="46" t="s">
        <v>18</v>
      </c>
      <c r="B46" s="54">
        <v>122</v>
      </c>
      <c r="C46" s="54">
        <v>157</v>
      </c>
      <c r="D46" s="54">
        <v>188</v>
      </c>
      <c r="E46" s="54">
        <v>200</v>
      </c>
      <c r="F46" s="54">
        <v>215</v>
      </c>
      <c r="G46" s="54">
        <v>230</v>
      </c>
      <c r="H46" s="54">
        <v>260</v>
      </c>
      <c r="I46" s="54">
        <v>280</v>
      </c>
    </row>
    <row r="47" spans="1:9" ht="12.75">
      <c r="A47" s="46" t="s">
        <v>19</v>
      </c>
      <c r="B47" s="54">
        <f>175+3</f>
        <v>178</v>
      </c>
      <c r="C47" s="54">
        <v>155</v>
      </c>
      <c r="D47" s="54">
        <v>146</v>
      </c>
      <c r="E47" s="54">
        <v>137</v>
      </c>
      <c r="F47" s="54">
        <v>132</v>
      </c>
      <c r="G47" s="54">
        <v>254</v>
      </c>
      <c r="H47" s="54">
        <v>248</v>
      </c>
      <c r="I47" s="54">
        <v>259</v>
      </c>
    </row>
    <row r="48" spans="1:9" s="57" customFormat="1" ht="12.75">
      <c r="A48" s="55" t="s">
        <v>4</v>
      </c>
      <c r="B48" s="56">
        <f aca="true" t="shared" si="5" ref="B48:I48">SUM(B46:B47)</f>
        <v>300</v>
      </c>
      <c r="C48" s="56">
        <f t="shared" si="5"/>
        <v>312</v>
      </c>
      <c r="D48" s="56">
        <f t="shared" si="5"/>
        <v>334</v>
      </c>
      <c r="E48" s="56">
        <f t="shared" si="5"/>
        <v>337</v>
      </c>
      <c r="F48" s="56">
        <f t="shared" si="5"/>
        <v>347</v>
      </c>
      <c r="G48" s="56">
        <f t="shared" si="5"/>
        <v>484</v>
      </c>
      <c r="H48" s="56">
        <f t="shared" si="5"/>
        <v>508</v>
      </c>
      <c r="I48" s="56">
        <f t="shared" si="5"/>
        <v>539</v>
      </c>
    </row>
    <row r="49" spans="1:9" ht="12.75">
      <c r="A49" s="46"/>
      <c r="B49" s="54"/>
      <c r="C49" s="54"/>
      <c r="D49" s="54"/>
      <c r="E49" s="54"/>
      <c r="F49" s="54"/>
      <c r="G49" s="54"/>
      <c r="H49" s="54"/>
      <c r="I49" s="54"/>
    </row>
    <row r="50" spans="1:9" ht="12.75">
      <c r="A50" s="1" t="s">
        <v>62</v>
      </c>
      <c r="B50" s="54"/>
      <c r="C50" s="54"/>
      <c r="D50" s="54"/>
      <c r="E50" s="54"/>
      <c r="F50" s="54"/>
      <c r="G50" s="54"/>
      <c r="H50" s="54"/>
      <c r="I50" s="54"/>
    </row>
    <row r="51" spans="1:9" ht="12.75">
      <c r="A51" s="46" t="s">
        <v>18</v>
      </c>
      <c r="B51" s="54">
        <v>10</v>
      </c>
      <c r="C51" s="54">
        <v>12</v>
      </c>
      <c r="D51" s="54">
        <v>16</v>
      </c>
      <c r="E51" s="54">
        <v>18</v>
      </c>
      <c r="F51" s="54">
        <v>17</v>
      </c>
      <c r="G51" s="54">
        <v>22</v>
      </c>
      <c r="H51" s="54">
        <v>22</v>
      </c>
      <c r="I51" s="54">
        <v>24</v>
      </c>
    </row>
    <row r="52" spans="1:9" ht="12.75">
      <c r="A52" s="46" t="s">
        <v>19</v>
      </c>
      <c r="B52" s="54">
        <v>16</v>
      </c>
      <c r="C52" s="54">
        <v>17</v>
      </c>
      <c r="D52" s="54">
        <v>14</v>
      </c>
      <c r="E52" s="54">
        <v>12</v>
      </c>
      <c r="F52" s="54">
        <v>13</v>
      </c>
      <c r="G52" s="54">
        <v>18</v>
      </c>
      <c r="H52" s="54">
        <v>20</v>
      </c>
      <c r="I52" s="54">
        <v>19</v>
      </c>
    </row>
    <row r="53" spans="1:9" s="57" customFormat="1" ht="12.75">
      <c r="A53" s="55" t="s">
        <v>4</v>
      </c>
      <c r="B53" s="56">
        <f aca="true" t="shared" si="6" ref="B53:I53">SUM(B51:B52)</f>
        <v>26</v>
      </c>
      <c r="C53" s="56">
        <f t="shared" si="6"/>
        <v>29</v>
      </c>
      <c r="D53" s="56">
        <f t="shared" si="6"/>
        <v>30</v>
      </c>
      <c r="E53" s="56">
        <f t="shared" si="6"/>
        <v>30</v>
      </c>
      <c r="F53" s="56">
        <f t="shared" si="6"/>
        <v>30</v>
      </c>
      <c r="G53" s="56">
        <f t="shared" si="6"/>
        <v>40</v>
      </c>
      <c r="H53" s="56">
        <f t="shared" si="6"/>
        <v>42</v>
      </c>
      <c r="I53" s="56">
        <f t="shared" si="6"/>
        <v>43</v>
      </c>
    </row>
    <row r="54" spans="1:9" ht="12.75">
      <c r="A54" s="46"/>
      <c r="B54" s="54"/>
      <c r="C54" s="54"/>
      <c r="D54" s="54"/>
      <c r="E54" s="54"/>
      <c r="F54" s="54"/>
      <c r="G54" s="54"/>
      <c r="H54" s="54"/>
      <c r="I54" s="54"/>
    </row>
    <row r="55" spans="1:9" ht="12.75">
      <c r="A55" s="44" t="s">
        <v>15</v>
      </c>
      <c r="B55" s="54"/>
      <c r="C55" s="54"/>
      <c r="D55" s="54"/>
      <c r="E55" s="54"/>
      <c r="F55" s="54"/>
      <c r="G55" s="54"/>
      <c r="H55" s="54"/>
      <c r="I55" s="54"/>
    </row>
    <row r="56" spans="1:9" ht="12.75">
      <c r="A56" s="46" t="s">
        <v>18</v>
      </c>
      <c r="B56" s="54">
        <v>90</v>
      </c>
      <c r="C56" s="54">
        <v>92</v>
      </c>
      <c r="D56" s="54">
        <v>93</v>
      </c>
      <c r="E56" s="54">
        <v>99</v>
      </c>
      <c r="F56" s="54">
        <v>103</v>
      </c>
      <c r="G56" s="54">
        <v>103</v>
      </c>
      <c r="H56" s="54">
        <v>132</v>
      </c>
      <c r="I56" s="54">
        <v>136</v>
      </c>
    </row>
    <row r="57" spans="1:9" ht="12.75">
      <c r="A57" s="46" t="s">
        <v>19</v>
      </c>
      <c r="B57" s="54">
        <v>37</v>
      </c>
      <c r="C57" s="54">
        <v>38</v>
      </c>
      <c r="D57" s="54">
        <v>42</v>
      </c>
      <c r="E57" s="54">
        <v>41</v>
      </c>
      <c r="F57" s="54">
        <v>38</v>
      </c>
      <c r="G57" s="54">
        <v>88</v>
      </c>
      <c r="H57" s="54">
        <v>64</v>
      </c>
      <c r="I57" s="54">
        <v>64</v>
      </c>
    </row>
    <row r="58" spans="1:9" s="57" customFormat="1" ht="12.75">
      <c r="A58" s="55" t="s">
        <v>4</v>
      </c>
      <c r="B58" s="56">
        <f aca="true" t="shared" si="7" ref="B58:I58">SUM(B56:B57)</f>
        <v>127</v>
      </c>
      <c r="C58" s="56">
        <f t="shared" si="7"/>
        <v>130</v>
      </c>
      <c r="D58" s="56">
        <f t="shared" si="7"/>
        <v>135</v>
      </c>
      <c r="E58" s="56">
        <f t="shared" si="7"/>
        <v>140</v>
      </c>
      <c r="F58" s="56">
        <f t="shared" si="7"/>
        <v>141</v>
      </c>
      <c r="G58" s="56">
        <f t="shared" si="7"/>
        <v>191</v>
      </c>
      <c r="H58" s="56">
        <f t="shared" si="7"/>
        <v>196</v>
      </c>
      <c r="I58" s="56">
        <f t="shared" si="7"/>
        <v>200</v>
      </c>
    </row>
    <row r="59" spans="1:9" ht="12.75">
      <c r="A59" s="55"/>
      <c r="B59" s="54"/>
      <c r="C59" s="54"/>
      <c r="D59" s="54"/>
      <c r="E59" s="54"/>
      <c r="F59" s="54"/>
      <c r="G59" s="54"/>
      <c r="H59" s="54"/>
      <c r="I59" s="54"/>
    </row>
    <row r="60" spans="1:9" ht="12.75">
      <c r="A60" s="44" t="s">
        <v>42</v>
      </c>
      <c r="B60" s="54"/>
      <c r="C60" s="54"/>
      <c r="D60" s="54"/>
      <c r="E60" s="54"/>
      <c r="F60" s="54"/>
      <c r="G60" s="54"/>
      <c r="H60" s="54"/>
      <c r="I60" s="54"/>
    </row>
    <row r="61" spans="1:9" ht="12.75">
      <c r="A61" s="46" t="s">
        <v>18</v>
      </c>
      <c r="B61" s="54">
        <v>2367</v>
      </c>
      <c r="C61" s="54">
        <v>2457</v>
      </c>
      <c r="D61" s="54">
        <v>2540</v>
      </c>
      <c r="E61" s="54">
        <v>2618</v>
      </c>
      <c r="F61" s="54">
        <v>2692</v>
      </c>
      <c r="G61" s="54">
        <v>2753</v>
      </c>
      <c r="H61" s="54">
        <v>3453</v>
      </c>
      <c r="I61" s="54">
        <v>3424</v>
      </c>
    </row>
    <row r="62" spans="1:9" ht="12.75">
      <c r="A62" s="46" t="s">
        <v>19</v>
      </c>
      <c r="B62" s="54">
        <f>924+189+7</f>
        <v>1120</v>
      </c>
      <c r="C62" s="54">
        <v>1194</v>
      </c>
      <c r="D62" s="54">
        <v>1109</v>
      </c>
      <c r="E62" s="54">
        <v>1214</v>
      </c>
      <c r="F62" s="54">
        <v>1176</v>
      </c>
      <c r="G62" s="54">
        <v>1129</v>
      </c>
      <c r="H62" s="54">
        <v>1580</v>
      </c>
      <c r="I62" s="54">
        <v>1713</v>
      </c>
    </row>
    <row r="63" spans="1:9" s="57" customFormat="1" ht="12.75">
      <c r="A63" s="178" t="s">
        <v>4</v>
      </c>
      <c r="B63" s="179">
        <f aca="true" t="shared" si="8" ref="B63:I63">SUM(B61:B62)</f>
        <v>3487</v>
      </c>
      <c r="C63" s="179">
        <f t="shared" si="8"/>
        <v>3651</v>
      </c>
      <c r="D63" s="179">
        <f t="shared" si="8"/>
        <v>3649</v>
      </c>
      <c r="E63" s="179">
        <f t="shared" si="8"/>
        <v>3832</v>
      </c>
      <c r="F63" s="179">
        <f t="shared" si="8"/>
        <v>3868</v>
      </c>
      <c r="G63" s="179">
        <f t="shared" si="8"/>
        <v>3882</v>
      </c>
      <c r="H63" s="179">
        <f t="shared" si="8"/>
        <v>5033</v>
      </c>
      <c r="I63" s="179">
        <f t="shared" si="8"/>
        <v>5137</v>
      </c>
    </row>
    <row r="64" spans="1:9" ht="12.75">
      <c r="A64" s="177"/>
      <c r="B64" s="54"/>
      <c r="C64" s="54"/>
      <c r="D64" s="54"/>
      <c r="E64" s="54"/>
      <c r="F64" s="54"/>
      <c r="G64" s="54"/>
      <c r="H64" s="54"/>
      <c r="I64" s="54"/>
    </row>
    <row r="65" spans="1:9" ht="12.75">
      <c r="A65" s="59" t="s">
        <v>73</v>
      </c>
      <c r="B65" s="54"/>
      <c r="C65" s="54"/>
      <c r="D65" s="54"/>
      <c r="E65" s="54"/>
      <c r="F65" s="54"/>
      <c r="G65" s="54"/>
      <c r="H65" s="54"/>
      <c r="I65" s="54"/>
    </row>
    <row r="66" spans="1:9" ht="12.75">
      <c r="A66" s="46" t="s">
        <v>18</v>
      </c>
      <c r="B66" s="54">
        <f aca="true" t="shared" si="9" ref="B66:G68">SUM(B11,B16,B21,B26,B36,B46,B51,B56,B61)</f>
        <v>11400</v>
      </c>
      <c r="C66" s="54">
        <f t="shared" si="9"/>
        <v>12509</v>
      </c>
      <c r="D66" s="54">
        <f t="shared" si="9"/>
        <v>13038</v>
      </c>
      <c r="E66" s="54">
        <f t="shared" si="9"/>
        <v>13373</v>
      </c>
      <c r="F66" s="54">
        <f t="shared" si="9"/>
        <v>13989</v>
      </c>
      <c r="G66" s="54">
        <f t="shared" si="9"/>
        <v>14376</v>
      </c>
      <c r="H66" s="54">
        <f aca="true" t="shared" si="10" ref="H66:I68">SUM(H11,H16,H21,H26,H31,H36,H46,H51,H56,H61)</f>
        <v>14957</v>
      </c>
      <c r="I66" s="54">
        <f t="shared" si="10"/>
        <v>15092</v>
      </c>
    </row>
    <row r="67" spans="1:9" ht="12.75">
      <c r="A67" s="46" t="s">
        <v>19</v>
      </c>
      <c r="B67" s="54">
        <f t="shared" si="9"/>
        <v>6226</v>
      </c>
      <c r="C67" s="54">
        <f t="shared" si="9"/>
        <v>7170</v>
      </c>
      <c r="D67" s="54">
        <f t="shared" si="9"/>
        <v>6844</v>
      </c>
      <c r="E67" s="54">
        <f t="shared" si="9"/>
        <v>6761</v>
      </c>
      <c r="F67" s="54">
        <f t="shared" si="9"/>
        <v>6458</v>
      </c>
      <c r="G67" s="54">
        <f t="shared" si="9"/>
        <v>6735</v>
      </c>
      <c r="H67" s="54">
        <f t="shared" si="10"/>
        <v>7071</v>
      </c>
      <c r="I67" s="54">
        <f t="shared" si="10"/>
        <v>7406</v>
      </c>
    </row>
    <row r="68" spans="1:9" s="57" customFormat="1" ht="12.75">
      <c r="A68" s="55" t="s">
        <v>4</v>
      </c>
      <c r="B68" s="167">
        <f t="shared" si="9"/>
        <v>17626</v>
      </c>
      <c r="C68" s="167">
        <f t="shared" si="9"/>
        <v>19679</v>
      </c>
      <c r="D68" s="167">
        <f t="shared" si="9"/>
        <v>19882</v>
      </c>
      <c r="E68" s="167">
        <f t="shared" si="9"/>
        <v>20134</v>
      </c>
      <c r="F68" s="167">
        <f t="shared" si="9"/>
        <v>20447</v>
      </c>
      <c r="G68" s="167">
        <f t="shared" si="9"/>
        <v>21111</v>
      </c>
      <c r="H68" s="167">
        <f t="shared" si="10"/>
        <v>22028</v>
      </c>
      <c r="I68" s="167">
        <f t="shared" si="10"/>
        <v>22498</v>
      </c>
    </row>
    <row r="69" spans="1:9" s="28" customFormat="1" ht="7.5" customHeight="1">
      <c r="A69" s="224"/>
      <c r="B69" s="37"/>
      <c r="C69" s="214"/>
      <c r="D69" s="214"/>
      <c r="E69" s="214"/>
      <c r="F69" s="214"/>
      <c r="G69" s="215"/>
      <c r="H69" s="37"/>
      <c r="I69" s="37"/>
    </row>
    <row r="70" spans="1:9" s="28" customFormat="1" ht="12.75">
      <c r="A70" s="43" t="s">
        <v>120</v>
      </c>
      <c r="B70" s="37"/>
      <c r="C70" s="214"/>
      <c r="D70" s="214"/>
      <c r="E70" s="214"/>
      <c r="F70" s="214"/>
      <c r="G70" s="215"/>
      <c r="H70" s="37"/>
      <c r="I70" s="37"/>
    </row>
    <row r="71" spans="1:9" s="28" customFormat="1" ht="12.75">
      <c r="A71" s="29" t="s">
        <v>18</v>
      </c>
      <c r="B71" s="225"/>
      <c r="C71"/>
      <c r="D71"/>
      <c r="E71"/>
      <c r="F71"/>
      <c r="G71"/>
      <c r="H71" s="37">
        <f>SUM(H11,H16,H21,H26,H31,H36,H51,H56,H61,H46,H41)</f>
        <v>14957</v>
      </c>
      <c r="I71" s="37">
        <f>SUM(I11,I16,I21,I26,I31,I36,I51,I56,I61,I46,I41)</f>
        <v>15092</v>
      </c>
    </row>
    <row r="72" spans="1:9" s="28" customFormat="1" ht="12.75">
      <c r="A72" s="29" t="s">
        <v>19</v>
      </c>
      <c r="B72" s="225"/>
      <c r="C72"/>
      <c r="D72"/>
      <c r="E72"/>
      <c r="F72"/>
      <c r="G72"/>
      <c r="H72" s="37">
        <f>SUM(H12,H17,H22,H27,H32,H37,H52,H57,H62,H47,H42)</f>
        <v>7126</v>
      </c>
      <c r="I72" s="37">
        <f>SUM(I12,I17,I22,I27,I32,I37,I52,I57,I62,I47,I42)</f>
        <v>7464</v>
      </c>
    </row>
    <row r="73" spans="1:9" s="40" customFormat="1" ht="12.75">
      <c r="A73" s="38" t="s">
        <v>4</v>
      </c>
      <c r="B73" s="226"/>
      <c r="C73" s="227"/>
      <c r="D73" s="227"/>
      <c r="E73" s="227"/>
      <c r="F73" s="227"/>
      <c r="G73" s="228"/>
      <c r="H73" s="39">
        <f>SUM(H71:H72)</f>
        <v>22083</v>
      </c>
      <c r="I73" s="39">
        <f>SUM(I71:I72)</f>
        <v>22556</v>
      </c>
    </row>
    <row r="75" ht="12.75">
      <c r="A75" s="241" t="s">
        <v>114</v>
      </c>
    </row>
    <row r="76" ht="12.75">
      <c r="A76" s="60" t="s">
        <v>21</v>
      </c>
    </row>
  </sheetData>
  <mergeCells count="2">
    <mergeCell ref="A2:I2"/>
    <mergeCell ref="A4:I4"/>
  </mergeCells>
  <printOptions horizontalCentered="1"/>
  <pageMargins left="0.1968503937007874" right="0.1968503937007874" top="0.5905511811023623" bottom="0.3937007874015748" header="0.31496062992125984" footer="0.31496062992125984"/>
  <pageSetup fitToHeight="1" fitToWidth="1" orientation="portrait" paperSize="9" scale="81"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sheetPr codeName="Blad5"/>
  <dimension ref="A1:L113"/>
  <sheetViews>
    <sheetView workbookViewId="0" topLeftCell="A1">
      <selection activeCell="A34" sqref="A34"/>
    </sheetView>
  </sheetViews>
  <sheetFormatPr defaultColWidth="9.140625" defaultRowHeight="12.75"/>
  <cols>
    <col min="1" max="1" width="32.7109375" style="4" customWidth="1"/>
    <col min="2" max="10" width="10.421875" style="4" customWidth="1"/>
    <col min="11" max="16384" width="9.140625" style="4" customWidth="1"/>
  </cols>
  <sheetData>
    <row r="1" spans="1:10" ht="12.75">
      <c r="A1" s="1" t="s">
        <v>81</v>
      </c>
      <c r="B1" s="2"/>
      <c r="C1" s="2"/>
      <c r="D1" s="2"/>
      <c r="E1" s="2"/>
      <c r="F1" s="2"/>
      <c r="G1" s="2"/>
      <c r="H1" s="2"/>
      <c r="I1" s="2"/>
      <c r="J1" s="2"/>
    </row>
    <row r="2" spans="1:10" ht="12.75">
      <c r="A2" s="5" t="s">
        <v>22</v>
      </c>
      <c r="B2" s="7"/>
      <c r="C2" s="7"/>
      <c r="D2" s="7"/>
      <c r="E2" s="6"/>
      <c r="F2" s="6"/>
      <c r="G2" s="6"/>
      <c r="H2" s="6"/>
      <c r="I2" s="6"/>
      <c r="J2" s="6"/>
    </row>
    <row r="3" spans="1:10" ht="12.75">
      <c r="A3" s="5"/>
      <c r="B3" s="7"/>
      <c r="C3" s="7"/>
      <c r="D3" s="7"/>
      <c r="E3" s="6"/>
      <c r="F3" s="6"/>
      <c r="G3" s="6"/>
      <c r="H3" s="6"/>
      <c r="I3" s="6"/>
      <c r="J3" s="6"/>
    </row>
    <row r="4" spans="1:10" ht="12.75">
      <c r="A4" s="5" t="s">
        <v>84</v>
      </c>
      <c r="B4" s="7"/>
      <c r="C4" s="7"/>
      <c r="D4" s="7"/>
      <c r="E4" s="6"/>
      <c r="F4" s="6"/>
      <c r="G4" s="6"/>
      <c r="H4" s="6"/>
      <c r="I4" s="6"/>
      <c r="J4" s="6"/>
    </row>
    <row r="5" spans="1:10" ht="13.5" thickBot="1">
      <c r="A5" s="2"/>
      <c r="B5" s="2"/>
      <c r="C5" s="2"/>
      <c r="D5" s="2"/>
      <c r="E5" s="2"/>
      <c r="F5" s="2"/>
      <c r="G5" s="2"/>
      <c r="H5" s="2"/>
      <c r="I5" s="2"/>
      <c r="J5" s="2"/>
    </row>
    <row r="6" spans="1:10" ht="12.75">
      <c r="A6" s="8"/>
      <c r="B6" s="9" t="s">
        <v>2</v>
      </c>
      <c r="C6" s="10"/>
      <c r="D6" s="10"/>
      <c r="E6" s="9" t="s">
        <v>3</v>
      </c>
      <c r="F6" s="10"/>
      <c r="G6" s="10"/>
      <c r="H6" s="9" t="s">
        <v>4</v>
      </c>
      <c r="I6" s="10"/>
      <c r="J6" s="10"/>
    </row>
    <row r="7" spans="1:10" s="161" customFormat="1" ht="12.75">
      <c r="A7" s="66"/>
      <c r="B7" s="181" t="s">
        <v>5</v>
      </c>
      <c r="C7" s="182" t="s">
        <v>6</v>
      </c>
      <c r="D7" s="182" t="s">
        <v>4</v>
      </c>
      <c r="E7" s="181" t="s">
        <v>5</v>
      </c>
      <c r="F7" s="182" t="s">
        <v>6</v>
      </c>
      <c r="G7" s="182" t="s">
        <v>4</v>
      </c>
      <c r="H7" s="181" t="s">
        <v>5</v>
      </c>
      <c r="I7" s="182" t="s">
        <v>6</v>
      </c>
      <c r="J7" s="182" t="s">
        <v>4</v>
      </c>
    </row>
    <row r="8" spans="1:10" ht="12.75">
      <c r="A8" s="2"/>
      <c r="B8" s="11"/>
      <c r="C8" s="12"/>
      <c r="D8" s="12"/>
      <c r="E8" s="11"/>
      <c r="F8" s="12"/>
      <c r="G8" s="12"/>
      <c r="H8" s="11"/>
      <c r="I8" s="12"/>
      <c r="J8" s="12"/>
    </row>
    <row r="9" spans="1:10" ht="12.75">
      <c r="A9" s="1" t="s">
        <v>7</v>
      </c>
      <c r="B9" s="11"/>
      <c r="C9" s="12"/>
      <c r="D9" s="12"/>
      <c r="E9" s="11"/>
      <c r="F9" s="12"/>
      <c r="G9" s="12"/>
      <c r="H9" s="11"/>
      <c r="I9" s="12"/>
      <c r="J9" s="12"/>
    </row>
    <row r="10" spans="1:10" ht="12.75">
      <c r="A10" s="2" t="s">
        <v>45</v>
      </c>
      <c r="B10" s="11">
        <v>1021</v>
      </c>
      <c r="C10" s="12">
        <v>6915</v>
      </c>
      <c r="D10" s="12">
        <f>SUM(B10:C10)</f>
        <v>7936</v>
      </c>
      <c r="E10" s="11">
        <v>191</v>
      </c>
      <c r="F10" s="12">
        <v>1031</v>
      </c>
      <c r="G10" s="12">
        <f>SUM(E10:F10)</f>
        <v>1222</v>
      </c>
      <c r="H10" s="11">
        <f>SUM(B10,E10)</f>
        <v>1212</v>
      </c>
      <c r="I10" s="12">
        <f>SUM(C10,F10)</f>
        <v>7946</v>
      </c>
      <c r="J10" s="12">
        <f>SUM(H10:I10)</f>
        <v>9158</v>
      </c>
    </row>
    <row r="11" spans="1:10" ht="12.75">
      <c r="A11" s="2" t="s">
        <v>8</v>
      </c>
      <c r="B11" s="11">
        <v>5047</v>
      </c>
      <c r="C11" s="12">
        <v>28325</v>
      </c>
      <c r="D11" s="12">
        <f>SUM(B11:C11)</f>
        <v>33372</v>
      </c>
      <c r="E11" s="11">
        <v>302</v>
      </c>
      <c r="F11" s="12">
        <v>3124</v>
      </c>
      <c r="G11" s="12">
        <f>SUM(E11:F11)</f>
        <v>3426</v>
      </c>
      <c r="H11" s="11">
        <f aca="true" t="shared" si="0" ref="H11:I13">SUM(B11,E11)</f>
        <v>5349</v>
      </c>
      <c r="I11" s="12">
        <f t="shared" si="0"/>
        <v>31449</v>
      </c>
      <c r="J11" s="12">
        <f>SUM(H11:I11)</f>
        <v>36798</v>
      </c>
    </row>
    <row r="12" spans="1:10" ht="12.75">
      <c r="A12" s="2" t="s">
        <v>9</v>
      </c>
      <c r="B12" s="11">
        <v>6</v>
      </c>
      <c r="C12" s="12">
        <v>26</v>
      </c>
      <c r="D12" s="12">
        <f>SUM(B12:C12)</f>
        <v>32</v>
      </c>
      <c r="E12" s="13">
        <v>0</v>
      </c>
      <c r="F12" s="12">
        <v>4</v>
      </c>
      <c r="G12" s="12">
        <f>SUM(E12:F12)</f>
        <v>4</v>
      </c>
      <c r="H12" s="13">
        <f t="shared" si="0"/>
        <v>6</v>
      </c>
      <c r="I12" s="12">
        <f t="shared" si="0"/>
        <v>30</v>
      </c>
      <c r="J12" s="12">
        <f>SUM(H12:I12)</f>
        <v>36</v>
      </c>
    </row>
    <row r="13" spans="1:10" ht="12.75">
      <c r="A13" s="3" t="s">
        <v>10</v>
      </c>
      <c r="B13" s="11">
        <v>1924</v>
      </c>
      <c r="C13" s="12">
        <v>10762</v>
      </c>
      <c r="D13" s="12">
        <f>SUM(B13:C13)</f>
        <v>12686</v>
      </c>
      <c r="E13" s="11">
        <v>146</v>
      </c>
      <c r="F13" s="12">
        <v>1162</v>
      </c>
      <c r="G13" s="12">
        <f>SUM(E13:F13)</f>
        <v>1308</v>
      </c>
      <c r="H13" s="11">
        <f t="shared" si="0"/>
        <v>2070</v>
      </c>
      <c r="I13" s="12">
        <f t="shared" si="0"/>
        <v>11924</v>
      </c>
      <c r="J13" s="12">
        <f>SUM(H13:I13)</f>
        <v>13994</v>
      </c>
    </row>
    <row r="14" spans="1:10" s="17" customFormat="1" ht="12.75">
      <c r="A14" s="14" t="s">
        <v>4</v>
      </c>
      <c r="B14" s="15">
        <f>SUM(B10:B13)</f>
        <v>7998</v>
      </c>
      <c r="C14" s="16">
        <f aca="true" t="shared" si="1" ref="C14:J14">SUM(C10:C13)</f>
        <v>46028</v>
      </c>
      <c r="D14" s="16">
        <f t="shared" si="1"/>
        <v>54026</v>
      </c>
      <c r="E14" s="15">
        <f t="shared" si="1"/>
        <v>639</v>
      </c>
      <c r="F14" s="16">
        <f t="shared" si="1"/>
        <v>5321</v>
      </c>
      <c r="G14" s="16">
        <f t="shared" si="1"/>
        <v>5960</v>
      </c>
      <c r="H14" s="15">
        <f t="shared" si="1"/>
        <v>8637</v>
      </c>
      <c r="I14" s="16">
        <f t="shared" si="1"/>
        <v>51349</v>
      </c>
      <c r="J14" s="16">
        <f t="shared" si="1"/>
        <v>59986</v>
      </c>
    </row>
    <row r="15" spans="1:10" ht="12.75">
      <c r="A15" s="3"/>
      <c r="B15" s="11"/>
      <c r="C15" s="12"/>
      <c r="D15" s="12"/>
      <c r="E15" s="11"/>
      <c r="F15" s="12"/>
      <c r="G15" s="12"/>
      <c r="H15" s="11"/>
      <c r="I15" s="12"/>
      <c r="J15" s="12"/>
    </row>
    <row r="16" spans="1:10" ht="12.75">
      <c r="A16" s="1" t="s">
        <v>11</v>
      </c>
      <c r="B16" s="11"/>
      <c r="C16" s="12"/>
      <c r="D16" s="12"/>
      <c r="E16" s="11"/>
      <c r="F16" s="12"/>
      <c r="G16" s="12"/>
      <c r="H16" s="11"/>
      <c r="I16" s="12"/>
      <c r="J16" s="12"/>
    </row>
    <row r="17" spans="1:10" ht="12.75">
      <c r="A17" s="2" t="s">
        <v>45</v>
      </c>
      <c r="B17" s="11">
        <v>266</v>
      </c>
      <c r="C17" s="12">
        <v>1328</v>
      </c>
      <c r="D17" s="12">
        <f>SUM(B17:C17)</f>
        <v>1594</v>
      </c>
      <c r="E17" s="11">
        <v>87</v>
      </c>
      <c r="F17" s="12">
        <v>678</v>
      </c>
      <c r="G17" s="12">
        <f>SUM(E17:F17)</f>
        <v>765</v>
      </c>
      <c r="H17" s="11">
        <f aca="true" t="shared" si="2" ref="H17:I20">SUM(B17,E17)</f>
        <v>353</v>
      </c>
      <c r="I17" s="12">
        <f t="shared" si="2"/>
        <v>2006</v>
      </c>
      <c r="J17" s="12">
        <f>SUM(H17:I17)</f>
        <v>2359</v>
      </c>
    </row>
    <row r="18" spans="1:10" ht="12.75">
      <c r="A18" s="2" t="s">
        <v>8</v>
      </c>
      <c r="B18" s="11">
        <v>722</v>
      </c>
      <c r="C18" s="12">
        <v>3408</v>
      </c>
      <c r="D18" s="12">
        <f>SUM(B18:C18)</f>
        <v>4130</v>
      </c>
      <c r="E18" s="11">
        <v>113</v>
      </c>
      <c r="F18" s="12">
        <v>1378</v>
      </c>
      <c r="G18" s="12">
        <f>SUM(E18:F18)</f>
        <v>1491</v>
      </c>
      <c r="H18" s="11">
        <f t="shared" si="2"/>
        <v>835</v>
      </c>
      <c r="I18" s="12">
        <f t="shared" si="2"/>
        <v>4786</v>
      </c>
      <c r="J18" s="12">
        <f>SUM(H18:I18)</f>
        <v>5621</v>
      </c>
    </row>
    <row r="19" spans="1:10" ht="12.75">
      <c r="A19" s="2" t="s">
        <v>9</v>
      </c>
      <c r="B19" s="13">
        <v>22</v>
      </c>
      <c r="C19" s="18">
        <v>104</v>
      </c>
      <c r="D19" s="18">
        <f>SUM(B19:C19)</f>
        <v>126</v>
      </c>
      <c r="E19" s="13">
        <v>1</v>
      </c>
      <c r="F19" s="18">
        <v>31</v>
      </c>
      <c r="G19" s="18">
        <f>SUM(E19:F19)</f>
        <v>32</v>
      </c>
      <c r="H19" s="13">
        <f t="shared" si="2"/>
        <v>23</v>
      </c>
      <c r="I19" s="18">
        <f t="shared" si="2"/>
        <v>135</v>
      </c>
      <c r="J19" s="18">
        <f>SUM(H19:I19)</f>
        <v>158</v>
      </c>
    </row>
    <row r="20" spans="1:10" ht="12.75">
      <c r="A20" s="2" t="s">
        <v>10</v>
      </c>
      <c r="B20" s="11">
        <v>133</v>
      </c>
      <c r="C20" s="12">
        <v>752</v>
      </c>
      <c r="D20" s="12">
        <f>SUM(B20:C20)</f>
        <v>885</v>
      </c>
      <c r="E20" s="11">
        <v>24</v>
      </c>
      <c r="F20" s="12">
        <v>292</v>
      </c>
      <c r="G20" s="12">
        <f>SUM(E20:F20)</f>
        <v>316</v>
      </c>
      <c r="H20" s="11">
        <f t="shared" si="2"/>
        <v>157</v>
      </c>
      <c r="I20" s="12">
        <f t="shared" si="2"/>
        <v>1044</v>
      </c>
      <c r="J20" s="12">
        <f>SUM(H20:I20)</f>
        <v>1201</v>
      </c>
    </row>
    <row r="21" spans="1:10" s="17" customFormat="1" ht="12.75">
      <c r="A21" s="19" t="s">
        <v>4</v>
      </c>
      <c r="B21" s="15">
        <f aca="true" t="shared" si="3" ref="B21:J21">SUM(B17:B20)</f>
        <v>1143</v>
      </c>
      <c r="C21" s="16">
        <f t="shared" si="3"/>
        <v>5592</v>
      </c>
      <c r="D21" s="16">
        <f t="shared" si="3"/>
        <v>6735</v>
      </c>
      <c r="E21" s="15">
        <f t="shared" si="3"/>
        <v>225</v>
      </c>
      <c r="F21" s="16">
        <f t="shared" si="3"/>
        <v>2379</v>
      </c>
      <c r="G21" s="16">
        <f t="shared" si="3"/>
        <v>2604</v>
      </c>
      <c r="H21" s="15">
        <f t="shared" si="3"/>
        <v>1368</v>
      </c>
      <c r="I21" s="16">
        <f t="shared" si="3"/>
        <v>7971</v>
      </c>
      <c r="J21" s="16">
        <f t="shared" si="3"/>
        <v>9339</v>
      </c>
    </row>
    <row r="22" spans="1:10" ht="12.75">
      <c r="A22" s="2"/>
      <c r="B22" s="11"/>
      <c r="C22" s="12"/>
      <c r="D22" s="12"/>
      <c r="E22" s="11"/>
      <c r="F22" s="12"/>
      <c r="G22" s="12"/>
      <c r="H22" s="11"/>
      <c r="I22" s="12"/>
      <c r="J22" s="12"/>
    </row>
    <row r="23" spans="1:10" ht="12.75">
      <c r="A23" s="1" t="s">
        <v>12</v>
      </c>
      <c r="B23" s="11"/>
      <c r="C23" s="12"/>
      <c r="D23" s="12"/>
      <c r="E23" s="11"/>
      <c r="F23" s="12"/>
      <c r="G23" s="12"/>
      <c r="H23" s="11"/>
      <c r="I23" s="12"/>
      <c r="J23" s="12"/>
    </row>
    <row r="24" spans="1:10" ht="12.75">
      <c r="A24" s="2" t="s">
        <v>45</v>
      </c>
      <c r="B24" s="11">
        <f>5047-18</f>
        <v>5029</v>
      </c>
      <c r="C24" s="12">
        <f>7369-71</f>
        <v>7298</v>
      </c>
      <c r="D24" s="12">
        <f>SUM(B24:C24)</f>
        <v>12327</v>
      </c>
      <c r="E24" s="11">
        <v>496</v>
      </c>
      <c r="F24" s="12">
        <v>1461</v>
      </c>
      <c r="G24" s="12">
        <f>SUM(E24:F24)</f>
        <v>1957</v>
      </c>
      <c r="H24" s="11">
        <f aca="true" t="shared" si="4" ref="H24:I27">SUM(B24,E24)</f>
        <v>5525</v>
      </c>
      <c r="I24" s="12">
        <f t="shared" si="4"/>
        <v>8759</v>
      </c>
      <c r="J24" s="12">
        <f>SUM(H24:I24)</f>
        <v>14284</v>
      </c>
    </row>
    <row r="25" spans="1:10" ht="12.75">
      <c r="A25" s="2" t="s">
        <v>8</v>
      </c>
      <c r="B25" s="11">
        <v>17171</v>
      </c>
      <c r="C25" s="12">
        <v>27562</v>
      </c>
      <c r="D25" s="12">
        <f>SUM(B25:C25)</f>
        <v>44733</v>
      </c>
      <c r="E25" s="11">
        <v>1560</v>
      </c>
      <c r="F25" s="12">
        <v>3677</v>
      </c>
      <c r="G25" s="12">
        <f>SUM(E25:F25)</f>
        <v>5237</v>
      </c>
      <c r="H25" s="11">
        <f t="shared" si="4"/>
        <v>18731</v>
      </c>
      <c r="I25" s="12">
        <f t="shared" si="4"/>
        <v>31239</v>
      </c>
      <c r="J25" s="12">
        <f>SUM(H25:I25)</f>
        <v>49970</v>
      </c>
    </row>
    <row r="26" spans="1:10" ht="12.75">
      <c r="A26" s="2" t="s">
        <v>9</v>
      </c>
      <c r="B26" s="11">
        <f>1215-11</f>
        <v>1204</v>
      </c>
      <c r="C26" s="12">
        <f>1213-66</f>
        <v>1147</v>
      </c>
      <c r="D26" s="12">
        <f>SUM(B26:C26)</f>
        <v>2351</v>
      </c>
      <c r="E26" s="11">
        <v>75</v>
      </c>
      <c r="F26" s="12">
        <v>189</v>
      </c>
      <c r="G26" s="12">
        <f>SUM(E26:F26)</f>
        <v>264</v>
      </c>
      <c r="H26" s="11">
        <f t="shared" si="4"/>
        <v>1279</v>
      </c>
      <c r="I26" s="12">
        <f t="shared" si="4"/>
        <v>1336</v>
      </c>
      <c r="J26" s="12">
        <f>SUM(H26:I26)</f>
        <v>2615</v>
      </c>
    </row>
    <row r="27" spans="1:10" ht="12.75">
      <c r="A27" s="3" t="s">
        <v>10</v>
      </c>
      <c r="B27" s="11">
        <f>1723-5</f>
        <v>1718</v>
      </c>
      <c r="C27" s="12">
        <f>1924-19</f>
        <v>1905</v>
      </c>
      <c r="D27" s="12">
        <f>SUM(B27:C27)</f>
        <v>3623</v>
      </c>
      <c r="E27" s="11">
        <v>134</v>
      </c>
      <c r="F27" s="12">
        <v>310</v>
      </c>
      <c r="G27" s="12">
        <f>SUM(E27:F27)</f>
        <v>444</v>
      </c>
      <c r="H27" s="11">
        <f t="shared" si="4"/>
        <v>1852</v>
      </c>
      <c r="I27" s="12">
        <f t="shared" si="4"/>
        <v>2215</v>
      </c>
      <c r="J27" s="12">
        <f>SUM(H27:I27)</f>
        <v>4067</v>
      </c>
    </row>
    <row r="28" spans="1:10" s="17" customFormat="1" ht="12.75">
      <c r="A28" s="14" t="s">
        <v>4</v>
      </c>
      <c r="B28" s="15">
        <f aca="true" t="shared" si="5" ref="B28:J28">SUM(B24:B27)</f>
        <v>25122</v>
      </c>
      <c r="C28" s="16">
        <f t="shared" si="5"/>
        <v>37912</v>
      </c>
      <c r="D28" s="16">
        <f t="shared" si="5"/>
        <v>63034</v>
      </c>
      <c r="E28" s="15">
        <f t="shared" si="5"/>
        <v>2265</v>
      </c>
      <c r="F28" s="16">
        <f t="shared" si="5"/>
        <v>5637</v>
      </c>
      <c r="G28" s="16">
        <f t="shared" si="5"/>
        <v>7902</v>
      </c>
      <c r="H28" s="15">
        <f t="shared" si="5"/>
        <v>27387</v>
      </c>
      <c r="I28" s="16">
        <f t="shared" si="5"/>
        <v>43549</v>
      </c>
      <c r="J28" s="16">
        <f t="shared" si="5"/>
        <v>70936</v>
      </c>
    </row>
    <row r="29" spans="1:10" ht="12.75">
      <c r="A29" s="3"/>
      <c r="B29" s="11"/>
      <c r="C29" s="12"/>
      <c r="D29" s="12"/>
      <c r="E29" s="11"/>
      <c r="F29" s="12"/>
      <c r="G29" s="12"/>
      <c r="H29" s="11"/>
      <c r="I29" s="12"/>
      <c r="J29" s="12"/>
    </row>
    <row r="30" spans="1:10" ht="12.75">
      <c r="A30" s="1" t="s">
        <v>13</v>
      </c>
      <c r="B30" s="11"/>
      <c r="C30" s="12"/>
      <c r="D30" s="12"/>
      <c r="E30" s="11"/>
      <c r="F30" s="12"/>
      <c r="G30" s="12"/>
      <c r="H30" s="11"/>
      <c r="I30" s="12"/>
      <c r="J30" s="12"/>
    </row>
    <row r="31" spans="1:10" ht="12.75">
      <c r="A31" s="2" t="s">
        <v>45</v>
      </c>
      <c r="B31" s="11">
        <v>543</v>
      </c>
      <c r="C31" s="12">
        <v>905</v>
      </c>
      <c r="D31" s="12">
        <f>SUM(B31:C31)</f>
        <v>1448</v>
      </c>
      <c r="E31" s="11">
        <v>58</v>
      </c>
      <c r="F31" s="12">
        <v>310</v>
      </c>
      <c r="G31" s="12">
        <f>SUM(E31:F31)</f>
        <v>368</v>
      </c>
      <c r="H31" s="11">
        <f aca="true" t="shared" si="6" ref="H31:I34">SUM(B31,E31)</f>
        <v>601</v>
      </c>
      <c r="I31" s="12">
        <f t="shared" si="6"/>
        <v>1215</v>
      </c>
      <c r="J31" s="12">
        <f>SUM(H31:I31)</f>
        <v>1816</v>
      </c>
    </row>
    <row r="32" spans="1:10" ht="12.75">
      <c r="A32" s="2" t="s">
        <v>8</v>
      </c>
      <c r="B32" s="11">
        <v>1541</v>
      </c>
      <c r="C32" s="12">
        <v>2635</v>
      </c>
      <c r="D32" s="12">
        <f>SUM(B32:C32)</f>
        <v>4176</v>
      </c>
      <c r="E32" s="11">
        <v>139</v>
      </c>
      <c r="F32" s="12">
        <v>608</v>
      </c>
      <c r="G32" s="12">
        <f>SUM(E32:F32)</f>
        <v>747</v>
      </c>
      <c r="H32" s="11">
        <f t="shared" si="6"/>
        <v>1680</v>
      </c>
      <c r="I32" s="12">
        <f t="shared" si="6"/>
        <v>3243</v>
      </c>
      <c r="J32" s="12">
        <f>SUM(H32:I32)</f>
        <v>4923</v>
      </c>
    </row>
    <row r="33" spans="1:10" ht="12.75">
      <c r="A33" s="2" t="s">
        <v>9</v>
      </c>
      <c r="B33" s="11">
        <v>61</v>
      </c>
      <c r="C33" s="12">
        <v>56</v>
      </c>
      <c r="D33" s="12">
        <f>SUM(B33:C33)</f>
        <v>117</v>
      </c>
      <c r="E33" s="13">
        <v>4</v>
      </c>
      <c r="F33" s="12">
        <v>14</v>
      </c>
      <c r="G33" s="12">
        <f>SUM(E33:F33)</f>
        <v>18</v>
      </c>
      <c r="H33" s="13">
        <f t="shared" si="6"/>
        <v>65</v>
      </c>
      <c r="I33" s="12">
        <f t="shared" si="6"/>
        <v>70</v>
      </c>
      <c r="J33" s="12">
        <f>SUM(H33:I33)</f>
        <v>135</v>
      </c>
    </row>
    <row r="34" spans="1:10" ht="12.75">
      <c r="A34" s="2" t="s">
        <v>10</v>
      </c>
      <c r="B34" s="11">
        <v>341</v>
      </c>
      <c r="C34" s="12">
        <v>428</v>
      </c>
      <c r="D34" s="12">
        <f>SUM(B34:C34)</f>
        <v>769</v>
      </c>
      <c r="E34" s="11">
        <v>23</v>
      </c>
      <c r="F34" s="12">
        <v>108</v>
      </c>
      <c r="G34" s="12">
        <f>SUM(E34:F34)</f>
        <v>131</v>
      </c>
      <c r="H34" s="11">
        <f t="shared" si="6"/>
        <v>364</v>
      </c>
      <c r="I34" s="12">
        <f t="shared" si="6"/>
        <v>536</v>
      </c>
      <c r="J34" s="12">
        <f>SUM(H34:I34)</f>
        <v>900</v>
      </c>
    </row>
    <row r="35" spans="1:10" s="17" customFormat="1" ht="12.75">
      <c r="A35" s="19" t="s">
        <v>4</v>
      </c>
      <c r="B35" s="15">
        <f aca="true" t="shared" si="7" ref="B35:J35">SUM(B31:B34)</f>
        <v>2486</v>
      </c>
      <c r="C35" s="16">
        <f t="shared" si="7"/>
        <v>4024</v>
      </c>
      <c r="D35" s="16">
        <f t="shared" si="7"/>
        <v>6510</v>
      </c>
      <c r="E35" s="15">
        <f t="shared" si="7"/>
        <v>224</v>
      </c>
      <c r="F35" s="16">
        <f t="shared" si="7"/>
        <v>1040</v>
      </c>
      <c r="G35" s="16">
        <f t="shared" si="7"/>
        <v>1264</v>
      </c>
      <c r="H35" s="15">
        <f t="shared" si="7"/>
        <v>2710</v>
      </c>
      <c r="I35" s="16">
        <f t="shared" si="7"/>
        <v>5064</v>
      </c>
      <c r="J35" s="16">
        <f t="shared" si="7"/>
        <v>7774</v>
      </c>
    </row>
    <row r="36" spans="1:10" s="17" customFormat="1" ht="12.75">
      <c r="A36" s="19"/>
      <c r="B36" s="20"/>
      <c r="C36" s="21"/>
      <c r="D36" s="21"/>
      <c r="E36" s="20"/>
      <c r="F36" s="21"/>
      <c r="G36" s="21"/>
      <c r="H36" s="20"/>
      <c r="I36" s="21"/>
      <c r="J36" s="21"/>
    </row>
    <row r="37" spans="1:10" s="17" customFormat="1" ht="12.75">
      <c r="A37" s="1" t="s">
        <v>113</v>
      </c>
      <c r="B37" s="20"/>
      <c r="C37" s="21"/>
      <c r="D37" s="21"/>
      <c r="E37" s="20"/>
      <c r="F37" s="21"/>
      <c r="G37" s="21"/>
      <c r="H37" s="20"/>
      <c r="I37" s="21"/>
      <c r="J37" s="21"/>
    </row>
    <row r="38" spans="1:10" s="17" customFormat="1" ht="12.75">
      <c r="A38" s="2" t="s">
        <v>45</v>
      </c>
      <c r="B38" s="13">
        <f>3+1+7+7</f>
        <v>18</v>
      </c>
      <c r="C38" s="70">
        <f>9+9+29+23+1</f>
        <v>71</v>
      </c>
      <c r="D38" s="70">
        <f>SUM(B38:C38)</f>
        <v>89</v>
      </c>
      <c r="E38" s="13">
        <v>0</v>
      </c>
      <c r="F38" s="70">
        <v>0</v>
      </c>
      <c r="G38" s="70">
        <f>SUM(E38:F38)</f>
        <v>0</v>
      </c>
      <c r="H38" s="13">
        <f aca="true" t="shared" si="8" ref="H38:I41">SUM(B38,E38)</f>
        <v>18</v>
      </c>
      <c r="I38" s="70">
        <f t="shared" si="8"/>
        <v>71</v>
      </c>
      <c r="J38" s="70">
        <f>SUM(H38:I38)</f>
        <v>89</v>
      </c>
    </row>
    <row r="39" spans="1:10" s="17" customFormat="1" ht="12.75">
      <c r="A39" s="2" t="s">
        <v>8</v>
      </c>
      <c r="B39" s="13">
        <v>100</v>
      </c>
      <c r="C39" s="70">
        <v>693</v>
      </c>
      <c r="D39" s="70">
        <f>SUM(B39:C39)</f>
        <v>793</v>
      </c>
      <c r="E39" s="13">
        <v>2</v>
      </c>
      <c r="F39" s="70">
        <v>21</v>
      </c>
      <c r="G39" s="70">
        <f>SUM(E39:F39)</f>
        <v>23</v>
      </c>
      <c r="H39" s="13">
        <f t="shared" si="8"/>
        <v>102</v>
      </c>
      <c r="I39" s="70">
        <f t="shared" si="8"/>
        <v>714</v>
      </c>
      <c r="J39" s="70">
        <f>SUM(H39:I39)</f>
        <v>816</v>
      </c>
    </row>
    <row r="40" spans="1:10" s="17" customFormat="1" ht="12.75">
      <c r="A40" s="2" t="s">
        <v>9</v>
      </c>
      <c r="B40" s="13">
        <f>1+8+2</f>
        <v>11</v>
      </c>
      <c r="C40" s="70">
        <f>7+3+42+14</f>
        <v>66</v>
      </c>
      <c r="D40" s="70">
        <f>SUM(B40:C40)</f>
        <v>77</v>
      </c>
      <c r="E40" s="13">
        <v>0</v>
      </c>
      <c r="F40" s="70">
        <v>0</v>
      </c>
      <c r="G40" s="70">
        <f>SUM(E40:F40)</f>
        <v>0</v>
      </c>
      <c r="H40" s="13">
        <f t="shared" si="8"/>
        <v>11</v>
      </c>
      <c r="I40" s="70">
        <f t="shared" si="8"/>
        <v>66</v>
      </c>
      <c r="J40" s="70">
        <f>SUM(H40:I40)</f>
        <v>77</v>
      </c>
    </row>
    <row r="41" spans="1:10" s="17" customFormat="1" ht="12.75">
      <c r="A41" s="2" t="s">
        <v>10</v>
      </c>
      <c r="B41" s="13">
        <f>1+1+3</f>
        <v>5</v>
      </c>
      <c r="C41" s="70">
        <f>2+2+11+4</f>
        <v>19</v>
      </c>
      <c r="D41" s="70">
        <f>SUM(B41:C41)</f>
        <v>24</v>
      </c>
      <c r="E41" s="13">
        <v>0</v>
      </c>
      <c r="F41" s="70">
        <v>0</v>
      </c>
      <c r="G41" s="70">
        <f>SUM(E41:F41)</f>
        <v>0</v>
      </c>
      <c r="H41" s="13">
        <f t="shared" si="8"/>
        <v>5</v>
      </c>
      <c r="I41" s="70">
        <f t="shared" si="8"/>
        <v>19</v>
      </c>
      <c r="J41" s="70">
        <f>SUM(H41:I41)</f>
        <v>24</v>
      </c>
    </row>
    <row r="42" spans="1:10" s="17" customFormat="1" ht="12.75">
      <c r="A42" s="19" t="s">
        <v>4</v>
      </c>
      <c r="B42" s="15">
        <f aca="true" t="shared" si="9" ref="B42:J42">SUM(B38:B41)</f>
        <v>134</v>
      </c>
      <c r="C42" s="16">
        <f t="shared" si="9"/>
        <v>849</v>
      </c>
      <c r="D42" s="222">
        <f t="shared" si="9"/>
        <v>983</v>
      </c>
      <c r="E42" s="15">
        <f t="shared" si="9"/>
        <v>2</v>
      </c>
      <c r="F42" s="16">
        <f t="shared" si="9"/>
        <v>21</v>
      </c>
      <c r="G42" s="222">
        <f t="shared" si="9"/>
        <v>23</v>
      </c>
      <c r="H42" s="15">
        <f t="shared" si="9"/>
        <v>136</v>
      </c>
      <c r="I42" s="16">
        <f t="shared" si="9"/>
        <v>870</v>
      </c>
      <c r="J42" s="16">
        <f t="shared" si="9"/>
        <v>1006</v>
      </c>
    </row>
    <row r="43" spans="1:10" ht="12.75">
      <c r="A43" s="2"/>
      <c r="B43" s="11"/>
      <c r="C43" s="12"/>
      <c r="D43" s="12"/>
      <c r="E43" s="11"/>
      <c r="F43" s="12"/>
      <c r="G43" s="12"/>
      <c r="H43" s="11"/>
      <c r="I43" s="12"/>
      <c r="J43" s="12"/>
    </row>
    <row r="44" spans="1:10" ht="12.75">
      <c r="A44" s="1" t="s">
        <v>14</v>
      </c>
      <c r="B44" s="171"/>
      <c r="C44" s="172"/>
      <c r="D44" s="173"/>
      <c r="E44" s="171"/>
      <c r="F44" s="172"/>
      <c r="G44" s="173"/>
      <c r="H44" s="11"/>
      <c r="I44" s="12"/>
      <c r="J44" s="12"/>
    </row>
    <row r="45" spans="1:10" s="17" customFormat="1" ht="12.75">
      <c r="A45" s="19" t="s">
        <v>4</v>
      </c>
      <c r="B45" s="171">
        <v>5147</v>
      </c>
      <c r="C45" s="172">
        <v>5137</v>
      </c>
      <c r="D45" s="173">
        <f>SUM(B45:C45)</f>
        <v>10284</v>
      </c>
      <c r="E45" s="174">
        <v>775</v>
      </c>
      <c r="F45" s="173">
        <v>1671</v>
      </c>
      <c r="G45" s="173">
        <f>SUM(E45:F45)</f>
        <v>2446</v>
      </c>
      <c r="H45" s="20">
        <f>SUM(B45,E45)</f>
        <v>5922</v>
      </c>
      <c r="I45" s="21">
        <f>SUM(C45,F45)</f>
        <v>6808</v>
      </c>
      <c r="J45" s="21">
        <f>SUM(H45:I45)</f>
        <v>12730</v>
      </c>
    </row>
    <row r="46" spans="1:10" ht="12.75">
      <c r="A46" s="2"/>
      <c r="B46" s="11"/>
      <c r="C46" s="12"/>
      <c r="D46" s="12"/>
      <c r="E46" s="11"/>
      <c r="F46" s="12"/>
      <c r="G46" s="12"/>
      <c r="H46" s="11"/>
      <c r="I46" s="12"/>
      <c r="J46" s="12"/>
    </row>
    <row r="47" spans="1:10" s="17" customFormat="1" ht="12.75">
      <c r="A47" s="210" t="s">
        <v>68</v>
      </c>
      <c r="B47" s="20"/>
      <c r="C47" s="21"/>
      <c r="D47" s="21"/>
      <c r="E47" s="20"/>
      <c r="F47" s="21"/>
      <c r="G47" s="21"/>
      <c r="H47" s="20"/>
      <c r="I47" s="21"/>
      <c r="J47" s="21"/>
    </row>
    <row r="48" spans="1:10" s="17" customFormat="1" ht="12.75">
      <c r="A48" s="19" t="s">
        <v>4</v>
      </c>
      <c r="B48" s="20">
        <v>125</v>
      </c>
      <c r="C48" s="21">
        <v>647</v>
      </c>
      <c r="D48" s="21">
        <f>SUM(B48:C48)</f>
        <v>772</v>
      </c>
      <c r="E48" s="20">
        <v>6</v>
      </c>
      <c r="F48" s="21">
        <v>70</v>
      </c>
      <c r="G48" s="21">
        <f>SUM(E48:F48)</f>
        <v>76</v>
      </c>
      <c r="H48" s="20">
        <f>B48+E48</f>
        <v>131</v>
      </c>
      <c r="I48" s="21">
        <f>C48+F48</f>
        <v>717</v>
      </c>
      <c r="J48" s="21">
        <f>H48+I48</f>
        <v>848</v>
      </c>
    </row>
    <row r="49" spans="1:10" ht="12.75">
      <c r="A49" s="2"/>
      <c r="B49" s="11"/>
      <c r="C49" s="12"/>
      <c r="D49" s="12"/>
      <c r="E49" s="11"/>
      <c r="F49" s="12"/>
      <c r="G49" s="12"/>
      <c r="H49" s="11"/>
      <c r="I49" s="12"/>
      <c r="J49" s="12"/>
    </row>
    <row r="50" spans="1:10" ht="12.75">
      <c r="A50" s="1" t="s">
        <v>61</v>
      </c>
      <c r="B50" s="11"/>
      <c r="C50" s="12"/>
      <c r="D50" s="12"/>
      <c r="E50" s="11"/>
      <c r="F50" s="12"/>
      <c r="G50" s="12"/>
      <c r="H50" s="11"/>
      <c r="I50" s="12"/>
      <c r="J50" s="12"/>
    </row>
    <row r="51" spans="1:10" ht="12.75">
      <c r="A51" s="2" t="s">
        <v>45</v>
      </c>
      <c r="B51" s="11">
        <v>692</v>
      </c>
      <c r="C51" s="12">
        <v>1133</v>
      </c>
      <c r="D51" s="12">
        <f>SUM(B51:C51)</f>
        <v>1825</v>
      </c>
      <c r="E51" s="11">
        <v>43</v>
      </c>
      <c r="F51" s="12">
        <v>168</v>
      </c>
      <c r="G51" s="12">
        <f>SUM(E51:F51)</f>
        <v>211</v>
      </c>
      <c r="H51" s="11">
        <f aca="true" t="shared" si="10" ref="H51:I54">SUM(B51,E51)</f>
        <v>735</v>
      </c>
      <c r="I51" s="12">
        <f t="shared" si="10"/>
        <v>1301</v>
      </c>
      <c r="J51" s="12">
        <f>SUM(H51:I51)</f>
        <v>2036</v>
      </c>
    </row>
    <row r="52" spans="1:10" ht="12.75">
      <c r="A52" s="2" t="s">
        <v>8</v>
      </c>
      <c r="B52" s="11">
        <v>793</v>
      </c>
      <c r="C52" s="12">
        <v>1571</v>
      </c>
      <c r="D52" s="12">
        <f>SUM(B52:C52)</f>
        <v>2364</v>
      </c>
      <c r="E52" s="11">
        <v>52</v>
      </c>
      <c r="F52" s="12">
        <v>202</v>
      </c>
      <c r="G52" s="12">
        <f>SUM(E52:F52)</f>
        <v>254</v>
      </c>
      <c r="H52" s="11">
        <f t="shared" si="10"/>
        <v>845</v>
      </c>
      <c r="I52" s="12">
        <f t="shared" si="10"/>
        <v>1773</v>
      </c>
      <c r="J52" s="12">
        <f>SUM(H52:I52)</f>
        <v>2618</v>
      </c>
    </row>
    <row r="53" spans="1:10" ht="12.75">
      <c r="A53" s="2" t="s">
        <v>9</v>
      </c>
      <c r="B53" s="11">
        <v>278</v>
      </c>
      <c r="C53" s="12">
        <v>378</v>
      </c>
      <c r="D53" s="12">
        <f>SUM(B53:C53)</f>
        <v>656</v>
      </c>
      <c r="E53" s="11">
        <v>16</v>
      </c>
      <c r="F53" s="12">
        <v>51</v>
      </c>
      <c r="G53" s="12">
        <f>SUM(E53:F53)</f>
        <v>67</v>
      </c>
      <c r="H53" s="11">
        <f t="shared" si="10"/>
        <v>294</v>
      </c>
      <c r="I53" s="12">
        <f t="shared" si="10"/>
        <v>429</v>
      </c>
      <c r="J53" s="12">
        <f>SUM(H53:I53)</f>
        <v>723</v>
      </c>
    </row>
    <row r="54" spans="1:10" ht="12.75">
      <c r="A54" s="2" t="s">
        <v>10</v>
      </c>
      <c r="B54" s="11">
        <v>231</v>
      </c>
      <c r="C54" s="12">
        <v>488</v>
      </c>
      <c r="D54" s="12">
        <f>SUM(B54:C54)</f>
        <v>719</v>
      </c>
      <c r="E54" s="11">
        <v>14</v>
      </c>
      <c r="F54" s="12">
        <v>70</v>
      </c>
      <c r="G54" s="12">
        <f>SUM(E54:F54)</f>
        <v>84</v>
      </c>
      <c r="H54" s="11">
        <f t="shared" si="10"/>
        <v>245</v>
      </c>
      <c r="I54" s="12">
        <f t="shared" si="10"/>
        <v>558</v>
      </c>
      <c r="J54" s="12">
        <f>SUM(H54:I54)</f>
        <v>803</v>
      </c>
    </row>
    <row r="55" spans="1:10" s="17" customFormat="1" ht="12.75">
      <c r="A55" s="19" t="s">
        <v>4</v>
      </c>
      <c r="B55" s="15">
        <f aca="true" t="shared" si="11" ref="B55:J55">SUM(B51:B54)</f>
        <v>1994</v>
      </c>
      <c r="C55" s="16">
        <f t="shared" si="11"/>
        <v>3570</v>
      </c>
      <c r="D55" s="16">
        <f t="shared" si="11"/>
        <v>5564</v>
      </c>
      <c r="E55" s="15">
        <f t="shared" si="11"/>
        <v>125</v>
      </c>
      <c r="F55" s="16">
        <f t="shared" si="11"/>
        <v>491</v>
      </c>
      <c r="G55" s="16">
        <f t="shared" si="11"/>
        <v>616</v>
      </c>
      <c r="H55" s="15">
        <f t="shared" si="11"/>
        <v>2119</v>
      </c>
      <c r="I55" s="16">
        <f t="shared" si="11"/>
        <v>4061</v>
      </c>
      <c r="J55" s="16">
        <f t="shared" si="11"/>
        <v>6180</v>
      </c>
    </row>
    <row r="56" spans="1:10" ht="12.75">
      <c r="A56" s="2"/>
      <c r="B56" s="11"/>
      <c r="C56" s="12"/>
      <c r="D56" s="12"/>
      <c r="E56" s="11"/>
      <c r="F56" s="12"/>
      <c r="G56" s="12"/>
      <c r="H56" s="11"/>
      <c r="I56" s="12"/>
      <c r="J56" s="12"/>
    </row>
    <row r="57" spans="1:10" ht="12.75">
      <c r="A57" s="1" t="s">
        <v>62</v>
      </c>
      <c r="B57" s="11"/>
      <c r="C57" s="12"/>
      <c r="D57" s="12"/>
      <c r="E57" s="11"/>
      <c r="F57" s="12"/>
      <c r="G57" s="12"/>
      <c r="H57" s="11"/>
      <c r="I57" s="12"/>
      <c r="J57" s="12"/>
    </row>
    <row r="58" spans="1:10" ht="12.75">
      <c r="A58" s="2" t="s">
        <v>45</v>
      </c>
      <c r="B58" s="11">
        <v>186</v>
      </c>
      <c r="C58" s="12">
        <v>123</v>
      </c>
      <c r="D58" s="12">
        <f>SUM(B58:C58)</f>
        <v>309</v>
      </c>
      <c r="E58" s="11">
        <v>4</v>
      </c>
      <c r="F58" s="12">
        <v>10</v>
      </c>
      <c r="G58" s="12">
        <f>SUM(E58:F58)</f>
        <v>14</v>
      </c>
      <c r="H58" s="11">
        <f aca="true" t="shared" si="12" ref="H58:I61">SUM(B58,E58)</f>
        <v>190</v>
      </c>
      <c r="I58" s="12">
        <f t="shared" si="12"/>
        <v>133</v>
      </c>
      <c r="J58" s="12">
        <f>SUM(H58:I58)</f>
        <v>323</v>
      </c>
    </row>
    <row r="59" spans="1:10" ht="12.75">
      <c r="A59" s="2" t="s">
        <v>8</v>
      </c>
      <c r="B59" s="11">
        <v>412</v>
      </c>
      <c r="C59" s="12">
        <v>304</v>
      </c>
      <c r="D59" s="12">
        <f>SUM(B59:C59)</f>
        <v>716</v>
      </c>
      <c r="E59" s="11">
        <v>2</v>
      </c>
      <c r="F59" s="12">
        <v>18</v>
      </c>
      <c r="G59" s="12">
        <f>SUM(E59:F59)</f>
        <v>20</v>
      </c>
      <c r="H59" s="11">
        <f t="shared" si="12"/>
        <v>414</v>
      </c>
      <c r="I59" s="12">
        <f t="shared" si="12"/>
        <v>322</v>
      </c>
      <c r="J59" s="12">
        <f>SUM(H59:I59)</f>
        <v>736</v>
      </c>
    </row>
    <row r="60" spans="1:10" ht="12.75">
      <c r="A60" s="2" t="s">
        <v>9</v>
      </c>
      <c r="B60" s="11">
        <v>78</v>
      </c>
      <c r="C60" s="12">
        <v>51</v>
      </c>
      <c r="D60" s="12">
        <f>SUM(B60:C60)</f>
        <v>129</v>
      </c>
      <c r="E60" s="11">
        <v>2</v>
      </c>
      <c r="F60" s="12">
        <v>6</v>
      </c>
      <c r="G60" s="12">
        <f>SUM(E60:F60)</f>
        <v>8</v>
      </c>
      <c r="H60" s="11">
        <f t="shared" si="12"/>
        <v>80</v>
      </c>
      <c r="I60" s="12">
        <f t="shared" si="12"/>
        <v>57</v>
      </c>
      <c r="J60" s="12">
        <f>SUM(H60:I60)</f>
        <v>137</v>
      </c>
    </row>
    <row r="61" spans="1:10" ht="12.75">
      <c r="A61" s="2" t="s">
        <v>10</v>
      </c>
      <c r="B61" s="11">
        <v>51</v>
      </c>
      <c r="C61" s="12">
        <v>48</v>
      </c>
      <c r="D61" s="12">
        <f>SUM(B61:C61)</f>
        <v>99</v>
      </c>
      <c r="E61" s="11">
        <v>1</v>
      </c>
      <c r="F61" s="12">
        <v>5</v>
      </c>
      <c r="G61" s="12">
        <f>SUM(E61:F61)</f>
        <v>6</v>
      </c>
      <c r="H61" s="11">
        <f t="shared" si="12"/>
        <v>52</v>
      </c>
      <c r="I61" s="12">
        <f t="shared" si="12"/>
        <v>53</v>
      </c>
      <c r="J61" s="12">
        <f>SUM(H61:I61)</f>
        <v>105</v>
      </c>
    </row>
    <row r="62" spans="1:10" s="17" customFormat="1" ht="12.75">
      <c r="A62" s="19" t="s">
        <v>4</v>
      </c>
      <c r="B62" s="15">
        <f aca="true" t="shared" si="13" ref="B62:J62">SUM(B58:B61)</f>
        <v>727</v>
      </c>
      <c r="C62" s="16">
        <f t="shared" si="13"/>
        <v>526</v>
      </c>
      <c r="D62" s="16">
        <f t="shared" si="13"/>
        <v>1253</v>
      </c>
      <c r="E62" s="15">
        <f t="shared" si="13"/>
        <v>9</v>
      </c>
      <c r="F62" s="16">
        <f t="shared" si="13"/>
        <v>39</v>
      </c>
      <c r="G62" s="16">
        <f t="shared" si="13"/>
        <v>48</v>
      </c>
      <c r="H62" s="15">
        <f t="shared" si="13"/>
        <v>736</v>
      </c>
      <c r="I62" s="16">
        <f t="shared" si="13"/>
        <v>565</v>
      </c>
      <c r="J62" s="16">
        <f t="shared" si="13"/>
        <v>1301</v>
      </c>
    </row>
    <row r="63" spans="1:10" s="17" customFormat="1" ht="12.75">
      <c r="A63" s="19"/>
      <c r="B63" s="20"/>
      <c r="C63" s="21"/>
      <c r="D63" s="21"/>
      <c r="E63" s="20"/>
      <c r="F63" s="21"/>
      <c r="G63" s="21"/>
      <c r="H63" s="20"/>
      <c r="I63" s="21"/>
      <c r="J63" s="21"/>
    </row>
    <row r="64" spans="1:10" ht="12.75">
      <c r="A64" s="1" t="s">
        <v>15</v>
      </c>
      <c r="B64" s="11"/>
      <c r="C64" s="12"/>
      <c r="D64" s="12"/>
      <c r="E64" s="11"/>
      <c r="F64" s="12"/>
      <c r="G64" s="12"/>
      <c r="H64" s="11"/>
      <c r="I64" s="12"/>
      <c r="J64" s="12"/>
    </row>
    <row r="65" spans="1:10" ht="12.75">
      <c r="A65" s="2" t="s">
        <v>45</v>
      </c>
      <c r="B65" s="11">
        <v>175</v>
      </c>
      <c r="C65" s="12">
        <v>206</v>
      </c>
      <c r="D65" s="12">
        <f>SUM(B65:C65)</f>
        <v>381</v>
      </c>
      <c r="E65" s="11">
        <v>15</v>
      </c>
      <c r="F65" s="12">
        <v>29</v>
      </c>
      <c r="G65" s="12">
        <f>SUM(E65:F65)</f>
        <v>44</v>
      </c>
      <c r="H65" s="11">
        <f aca="true" t="shared" si="14" ref="H65:I68">SUM(B65,E65)</f>
        <v>190</v>
      </c>
      <c r="I65" s="12">
        <f t="shared" si="14"/>
        <v>235</v>
      </c>
      <c r="J65" s="12">
        <f>SUM(H65:I65)</f>
        <v>425</v>
      </c>
    </row>
    <row r="66" spans="1:10" ht="12.75">
      <c r="A66" s="2" t="s">
        <v>8</v>
      </c>
      <c r="B66" s="11">
        <v>33</v>
      </c>
      <c r="C66" s="12">
        <v>33</v>
      </c>
      <c r="D66" s="12">
        <f>SUM(B66:C66)</f>
        <v>66</v>
      </c>
      <c r="E66" s="11">
        <v>1</v>
      </c>
      <c r="F66" s="12">
        <v>4</v>
      </c>
      <c r="G66" s="12">
        <f>SUM(E66:F66)</f>
        <v>5</v>
      </c>
      <c r="H66" s="11">
        <f t="shared" si="14"/>
        <v>34</v>
      </c>
      <c r="I66" s="12">
        <f t="shared" si="14"/>
        <v>37</v>
      </c>
      <c r="J66" s="12">
        <f>SUM(H66:I66)</f>
        <v>71</v>
      </c>
    </row>
    <row r="67" spans="1:10" ht="12.75">
      <c r="A67" s="2" t="s">
        <v>9</v>
      </c>
      <c r="B67" s="11">
        <v>0</v>
      </c>
      <c r="C67" s="12">
        <v>0</v>
      </c>
      <c r="D67" s="12">
        <f>SUM(B67:C67)</f>
        <v>0</v>
      </c>
      <c r="E67" s="11">
        <v>0</v>
      </c>
      <c r="F67" s="12">
        <v>0</v>
      </c>
      <c r="G67" s="12">
        <f>SUM(E67:F67)</f>
        <v>0</v>
      </c>
      <c r="H67" s="11">
        <f t="shared" si="14"/>
        <v>0</v>
      </c>
      <c r="I67" s="12">
        <f t="shared" si="14"/>
        <v>0</v>
      </c>
      <c r="J67" s="12">
        <f>SUM(H67:I67)</f>
        <v>0</v>
      </c>
    </row>
    <row r="68" spans="1:10" ht="12.75">
      <c r="A68" s="22" t="s">
        <v>10</v>
      </c>
      <c r="B68" s="11">
        <v>2074</v>
      </c>
      <c r="C68" s="25">
        <v>2760</v>
      </c>
      <c r="D68" s="25">
        <f>SUM(B68:C68)</f>
        <v>4834</v>
      </c>
      <c r="E68" s="11">
        <v>69</v>
      </c>
      <c r="F68" s="25">
        <v>214</v>
      </c>
      <c r="G68" s="25">
        <f>SUM(E68:F68)</f>
        <v>283</v>
      </c>
      <c r="H68" s="11">
        <f t="shared" si="14"/>
        <v>2143</v>
      </c>
      <c r="I68" s="25">
        <f t="shared" si="14"/>
        <v>2974</v>
      </c>
      <c r="J68" s="25">
        <f>SUM(H68:I68)</f>
        <v>5117</v>
      </c>
    </row>
    <row r="69" spans="1:10" s="17" customFormat="1" ht="12.75">
      <c r="A69" s="19" t="s">
        <v>4</v>
      </c>
      <c r="B69" s="15">
        <f>SUM(B65:B68)</f>
        <v>2282</v>
      </c>
      <c r="C69" s="16">
        <f>SUM(C65:C68)</f>
        <v>2999</v>
      </c>
      <c r="D69" s="16">
        <f aca="true" t="shared" si="15" ref="D69:J69">SUM(D65:D68)</f>
        <v>5281</v>
      </c>
      <c r="E69" s="15">
        <f>SUM(E65:E68)</f>
        <v>85</v>
      </c>
      <c r="F69" s="16">
        <f>SUM(F65:F68)</f>
        <v>247</v>
      </c>
      <c r="G69" s="16">
        <f t="shared" si="15"/>
        <v>332</v>
      </c>
      <c r="H69" s="15">
        <f t="shared" si="15"/>
        <v>2367</v>
      </c>
      <c r="I69" s="16">
        <f t="shared" si="15"/>
        <v>3246</v>
      </c>
      <c r="J69" s="16">
        <f t="shared" si="15"/>
        <v>5613</v>
      </c>
    </row>
    <row r="70" spans="1:10" ht="12.75">
      <c r="A70" s="2"/>
      <c r="B70" s="11"/>
      <c r="C70" s="12"/>
      <c r="D70" s="12"/>
      <c r="E70" s="11"/>
      <c r="F70" s="12"/>
      <c r="G70" s="12"/>
      <c r="H70" s="11"/>
      <c r="I70" s="12"/>
      <c r="J70" s="12"/>
    </row>
    <row r="71" spans="1:10" ht="12.75">
      <c r="A71" s="1" t="s">
        <v>42</v>
      </c>
      <c r="B71" s="11"/>
      <c r="C71" s="12"/>
      <c r="D71" s="12"/>
      <c r="E71" s="11"/>
      <c r="F71" s="12"/>
      <c r="G71" s="12"/>
      <c r="H71" s="11"/>
      <c r="I71" s="12"/>
      <c r="J71" s="12"/>
    </row>
    <row r="72" spans="1:12" ht="12.75">
      <c r="A72" s="2" t="s">
        <v>45</v>
      </c>
      <c r="B72" s="11">
        <v>0</v>
      </c>
      <c r="C72" s="12">
        <v>0</v>
      </c>
      <c r="D72" s="12">
        <f>SUM(B72:C72)</f>
        <v>0</v>
      </c>
      <c r="E72" s="11">
        <v>525</v>
      </c>
      <c r="F72" s="12">
        <v>1932</v>
      </c>
      <c r="G72" s="12">
        <f>SUM(E72:F72)</f>
        <v>2457</v>
      </c>
      <c r="H72" s="11">
        <f aca="true" t="shared" si="16" ref="H72:I76">SUM(B72,E72)</f>
        <v>525</v>
      </c>
      <c r="I72" s="12">
        <f t="shared" si="16"/>
        <v>1932</v>
      </c>
      <c r="J72" s="12">
        <f>SUM(H72:I72)</f>
        <v>2457</v>
      </c>
      <c r="K72" s="12"/>
      <c r="L72" s="12"/>
    </row>
    <row r="73" spans="1:12" ht="12.75">
      <c r="A73" s="2" t="s">
        <v>8</v>
      </c>
      <c r="B73" s="11">
        <v>0</v>
      </c>
      <c r="C73" s="12">
        <v>0</v>
      </c>
      <c r="D73" s="12">
        <f>SUM(B73:C73)</f>
        <v>0</v>
      </c>
      <c r="E73" s="11">
        <v>628</v>
      </c>
      <c r="F73" s="12">
        <v>2421</v>
      </c>
      <c r="G73" s="12">
        <f>SUM(E73:F73)</f>
        <v>3049</v>
      </c>
      <c r="H73" s="11">
        <f t="shared" si="16"/>
        <v>628</v>
      </c>
      <c r="I73" s="12">
        <f t="shared" si="16"/>
        <v>2421</v>
      </c>
      <c r="J73" s="12">
        <f>SUM(H73:I73)</f>
        <v>3049</v>
      </c>
      <c r="K73" s="12"/>
      <c r="L73" s="12"/>
    </row>
    <row r="74" spans="1:12" ht="12.75">
      <c r="A74" s="2" t="s">
        <v>9</v>
      </c>
      <c r="B74" s="11">
        <v>0</v>
      </c>
      <c r="C74" s="12">
        <v>0</v>
      </c>
      <c r="D74" s="12">
        <f>SUM(B74:C74)</f>
        <v>0</v>
      </c>
      <c r="E74" s="11">
        <v>19</v>
      </c>
      <c r="F74" s="12">
        <v>70</v>
      </c>
      <c r="G74" s="12">
        <f>SUM(E74:F74)</f>
        <v>89</v>
      </c>
      <c r="H74" s="11">
        <f t="shared" si="16"/>
        <v>19</v>
      </c>
      <c r="I74" s="12">
        <f t="shared" si="16"/>
        <v>70</v>
      </c>
      <c r="J74" s="12">
        <f>SUM(H74:I74)</f>
        <v>89</v>
      </c>
      <c r="K74" s="12"/>
      <c r="L74" s="12"/>
    </row>
    <row r="75" spans="1:10" ht="12.75">
      <c r="A75" s="22" t="s">
        <v>10</v>
      </c>
      <c r="B75" s="11">
        <v>0</v>
      </c>
      <c r="C75" s="25">
        <v>0</v>
      </c>
      <c r="D75" s="25">
        <f>SUM(B75:C75)</f>
        <v>0</v>
      </c>
      <c r="E75" s="11">
        <v>72</v>
      </c>
      <c r="F75" s="25">
        <v>230</v>
      </c>
      <c r="G75" s="25">
        <f>SUM(E75:F75)</f>
        <v>302</v>
      </c>
      <c r="H75" s="11">
        <f t="shared" si="16"/>
        <v>72</v>
      </c>
      <c r="I75" s="25">
        <f t="shared" si="16"/>
        <v>230</v>
      </c>
      <c r="J75" s="25">
        <f>SUM(H75:I75)</f>
        <v>302</v>
      </c>
    </row>
    <row r="76" spans="1:10" ht="12.75">
      <c r="A76" s="22" t="s">
        <v>16</v>
      </c>
      <c r="B76" s="11">
        <v>0</v>
      </c>
      <c r="C76" s="25">
        <v>0</v>
      </c>
      <c r="D76" s="25">
        <f>SUM(B76:C76)</f>
        <v>0</v>
      </c>
      <c r="E76" s="11">
        <v>187</v>
      </c>
      <c r="F76" s="25">
        <v>139</v>
      </c>
      <c r="G76" s="25">
        <f>SUM(E76:F76)</f>
        <v>326</v>
      </c>
      <c r="H76" s="11">
        <f t="shared" si="16"/>
        <v>187</v>
      </c>
      <c r="I76" s="25">
        <f t="shared" si="16"/>
        <v>139</v>
      </c>
      <c r="J76" s="25">
        <f>SUM(H76:I76)</f>
        <v>326</v>
      </c>
    </row>
    <row r="77" spans="1:10" s="17" customFormat="1" ht="12.75">
      <c r="A77" s="19" t="s">
        <v>4</v>
      </c>
      <c r="B77" s="15">
        <f>SUM(B72:B76)</f>
        <v>0</v>
      </c>
      <c r="C77" s="16">
        <f aca="true" t="shared" si="17" ref="C77:J77">SUM(C72:C76)</f>
        <v>0</v>
      </c>
      <c r="D77" s="16">
        <f t="shared" si="17"/>
        <v>0</v>
      </c>
      <c r="E77" s="15">
        <f t="shared" si="17"/>
        <v>1431</v>
      </c>
      <c r="F77" s="16">
        <f t="shared" si="17"/>
        <v>4792</v>
      </c>
      <c r="G77" s="16">
        <f t="shared" si="17"/>
        <v>6223</v>
      </c>
      <c r="H77" s="15">
        <f t="shared" si="17"/>
        <v>1431</v>
      </c>
      <c r="I77" s="16">
        <f t="shared" si="17"/>
        <v>4792</v>
      </c>
      <c r="J77" s="16">
        <f t="shared" si="17"/>
        <v>6223</v>
      </c>
    </row>
    <row r="78" spans="1:10" s="17" customFormat="1" ht="12.75">
      <c r="A78" s="19"/>
      <c r="B78" s="20"/>
      <c r="C78" s="21"/>
      <c r="D78" s="21"/>
      <c r="E78" s="20"/>
      <c r="F78" s="21"/>
      <c r="G78" s="21"/>
      <c r="H78" s="20"/>
      <c r="I78" s="21"/>
      <c r="J78" s="21"/>
    </row>
    <row r="79" spans="1:10" s="26" customFormat="1" ht="28.5" customHeight="1">
      <c r="A79" s="211" t="s">
        <v>69</v>
      </c>
      <c r="B79" s="23">
        <f>SUM(B77,B69,B62,B55,B45,B42,B35,B28,B21,B14)</f>
        <v>47033</v>
      </c>
      <c r="C79" s="24">
        <f aca="true" t="shared" si="18" ref="C79:J79">SUM(C77,C69,C62,C55,C45,C42,C35,C28,C21,C14)</f>
        <v>106637</v>
      </c>
      <c r="D79" s="212">
        <f t="shared" si="18"/>
        <v>153670</v>
      </c>
      <c r="E79" s="23">
        <f t="shared" si="18"/>
        <v>5780</v>
      </c>
      <c r="F79" s="24">
        <f t="shared" si="18"/>
        <v>21638</v>
      </c>
      <c r="G79" s="212">
        <f t="shared" si="18"/>
        <v>27418</v>
      </c>
      <c r="H79" s="24">
        <f t="shared" si="18"/>
        <v>52813</v>
      </c>
      <c r="I79" s="24">
        <f t="shared" si="18"/>
        <v>128275</v>
      </c>
      <c r="J79" s="24">
        <f t="shared" si="18"/>
        <v>181088</v>
      </c>
    </row>
    <row r="80" spans="1:10" s="26" customFormat="1" ht="6.75" customHeight="1">
      <c r="A80" s="19"/>
      <c r="B80" s="23"/>
      <c r="C80" s="24"/>
      <c r="D80" s="212"/>
      <c r="E80" s="23"/>
      <c r="F80" s="24"/>
      <c r="G80" s="212"/>
      <c r="H80" s="24"/>
      <c r="I80" s="24"/>
      <c r="J80" s="24"/>
    </row>
    <row r="81" spans="1:10" ht="27.75" customHeight="1">
      <c r="A81" s="211" t="s">
        <v>70</v>
      </c>
      <c r="B81" s="23">
        <f>SUM(B77,B69,B62,B55,B45,B42,B35,B28,B21,B14,B48)</f>
        <v>47158</v>
      </c>
      <c r="C81" s="24">
        <f aca="true" t="shared" si="19" ref="C81:J81">SUM(C77,C69,C62,C55,C45,C42,C35,C28,C21,C14,C48)</f>
        <v>107284</v>
      </c>
      <c r="D81" s="212">
        <f t="shared" si="19"/>
        <v>154442</v>
      </c>
      <c r="E81" s="23">
        <f t="shared" si="19"/>
        <v>5786</v>
      </c>
      <c r="F81" s="24">
        <f t="shared" si="19"/>
        <v>21708</v>
      </c>
      <c r="G81" s="212">
        <f t="shared" si="19"/>
        <v>27494</v>
      </c>
      <c r="H81" s="24">
        <f t="shared" si="19"/>
        <v>52944</v>
      </c>
      <c r="I81" s="24">
        <f t="shared" si="19"/>
        <v>128992</v>
      </c>
      <c r="J81" s="24">
        <f t="shared" si="19"/>
        <v>181936</v>
      </c>
    </row>
    <row r="82" spans="1:10" ht="12.75">
      <c r="A82" s="22"/>
      <c r="B82" s="25"/>
      <c r="C82" s="25"/>
      <c r="D82" s="25"/>
      <c r="E82" s="25"/>
      <c r="F82" s="25"/>
      <c r="G82" s="25"/>
      <c r="H82" s="25"/>
      <c r="I82" s="25"/>
      <c r="J82" s="25"/>
    </row>
    <row r="83" spans="1:10" ht="12.75">
      <c r="A83" s="191" t="s">
        <v>114</v>
      </c>
      <c r="B83" s="12"/>
      <c r="C83" s="12"/>
      <c r="D83" s="12"/>
      <c r="E83" s="12"/>
      <c r="F83" s="12"/>
      <c r="G83" s="12"/>
      <c r="H83" s="12"/>
      <c r="I83" s="12"/>
      <c r="J83" s="12"/>
    </row>
    <row r="84" spans="1:10" ht="12.75">
      <c r="A84" s="180" t="s">
        <v>21</v>
      </c>
      <c r="B84" s="12"/>
      <c r="C84" s="12"/>
      <c r="D84" s="12"/>
      <c r="E84" s="12"/>
      <c r="F84" s="12"/>
      <c r="G84" s="12"/>
      <c r="H84" s="12"/>
      <c r="I84" s="12"/>
      <c r="J84" s="12"/>
    </row>
    <row r="85" spans="2:10" ht="12.75">
      <c r="B85" s="12"/>
      <c r="C85" s="12"/>
      <c r="D85" s="12"/>
      <c r="E85" s="12"/>
      <c r="F85" s="12"/>
      <c r="G85" s="12"/>
      <c r="H85" s="12"/>
      <c r="I85" s="12"/>
      <c r="J85" s="12"/>
    </row>
    <row r="86" spans="2:10" ht="12.75">
      <c r="B86" s="12"/>
      <c r="C86" s="12"/>
      <c r="D86" s="12"/>
      <c r="E86" s="12"/>
      <c r="F86" s="12"/>
      <c r="G86" s="12"/>
      <c r="H86" s="12"/>
      <c r="I86" s="12"/>
      <c r="J86" s="12"/>
    </row>
    <row r="87" spans="2:10" ht="12.75">
      <c r="B87" s="12"/>
      <c r="C87" s="12"/>
      <c r="D87" s="12"/>
      <c r="E87" s="12"/>
      <c r="F87" s="12"/>
      <c r="G87" s="12"/>
      <c r="H87" s="12"/>
      <c r="I87" s="12"/>
      <c r="J87" s="12"/>
    </row>
    <row r="88" spans="2:10" ht="12.75">
      <c r="B88" s="12"/>
      <c r="C88" s="12"/>
      <c r="D88" s="12"/>
      <c r="E88" s="12"/>
      <c r="F88" s="12"/>
      <c r="G88" s="12"/>
      <c r="H88" s="12"/>
      <c r="I88" s="12"/>
      <c r="J88" s="12"/>
    </row>
    <row r="89" spans="2:10" ht="12.75">
      <c r="B89" s="12"/>
      <c r="C89" s="12"/>
      <c r="D89" s="12"/>
      <c r="E89" s="12"/>
      <c r="F89" s="12"/>
      <c r="G89" s="12"/>
      <c r="H89" s="12"/>
      <c r="I89" s="12"/>
      <c r="J89" s="12"/>
    </row>
    <row r="90" spans="2:10" ht="12.75">
      <c r="B90" s="12"/>
      <c r="C90" s="12"/>
      <c r="D90" s="12"/>
      <c r="E90" s="12"/>
      <c r="F90" s="12"/>
      <c r="G90" s="12"/>
      <c r="H90" s="12"/>
      <c r="I90" s="12"/>
      <c r="J90" s="12"/>
    </row>
    <row r="91" spans="2:10" ht="12.75">
      <c r="B91" s="12"/>
      <c r="C91" s="12"/>
      <c r="D91" s="12"/>
      <c r="E91" s="12"/>
      <c r="F91" s="12"/>
      <c r="G91" s="12"/>
      <c r="H91" s="12"/>
      <c r="I91" s="12"/>
      <c r="J91" s="12"/>
    </row>
    <row r="92" spans="2:10" ht="12.75">
      <c r="B92" s="12"/>
      <c r="C92" s="12"/>
      <c r="D92" s="12"/>
      <c r="E92" s="12"/>
      <c r="F92" s="12"/>
      <c r="G92" s="12"/>
      <c r="H92" s="12"/>
      <c r="I92" s="12"/>
      <c r="J92" s="12"/>
    </row>
    <row r="93" spans="2:10" ht="12.75">
      <c r="B93" s="12"/>
      <c r="C93" s="12"/>
      <c r="D93" s="12"/>
      <c r="E93" s="12"/>
      <c r="F93" s="12"/>
      <c r="G93" s="12"/>
      <c r="H93" s="12"/>
      <c r="I93" s="12"/>
      <c r="J93" s="12"/>
    </row>
    <row r="94" spans="2:10" ht="12.75">
      <c r="B94" s="12"/>
      <c r="C94" s="12"/>
      <c r="D94" s="12"/>
      <c r="E94" s="12"/>
      <c r="F94" s="12"/>
      <c r="G94" s="12"/>
      <c r="H94" s="12"/>
      <c r="I94" s="12"/>
      <c r="J94" s="12"/>
    </row>
    <row r="95" spans="2:10" ht="12.75">
      <c r="B95" s="12"/>
      <c r="C95" s="12"/>
      <c r="D95" s="12"/>
      <c r="E95" s="12"/>
      <c r="F95" s="12"/>
      <c r="G95" s="12"/>
      <c r="H95" s="12"/>
      <c r="I95" s="12"/>
      <c r="J95" s="12"/>
    </row>
    <row r="96" spans="2:10" ht="12.75">
      <c r="B96" s="12"/>
      <c r="C96" s="12"/>
      <c r="D96" s="12"/>
      <c r="E96" s="12"/>
      <c r="F96" s="12"/>
      <c r="G96" s="12"/>
      <c r="H96" s="12"/>
      <c r="I96" s="12"/>
      <c r="J96" s="12"/>
    </row>
    <row r="97" spans="2:10" ht="12.75">
      <c r="B97" s="12"/>
      <c r="C97" s="12"/>
      <c r="D97" s="12"/>
      <c r="E97" s="12"/>
      <c r="F97" s="12"/>
      <c r="G97" s="12"/>
      <c r="H97" s="12"/>
      <c r="I97" s="12"/>
      <c r="J97" s="12"/>
    </row>
    <row r="98" spans="2:10" ht="12.75">
      <c r="B98" s="12"/>
      <c r="C98" s="12"/>
      <c r="D98" s="12"/>
      <c r="E98" s="12"/>
      <c r="F98" s="12"/>
      <c r="G98" s="12"/>
      <c r="H98" s="12"/>
      <c r="I98" s="12"/>
      <c r="J98" s="12"/>
    </row>
    <row r="99" spans="2:10" ht="12.75">
      <c r="B99" s="12"/>
      <c r="C99" s="12"/>
      <c r="D99" s="12"/>
      <c r="E99" s="12"/>
      <c r="F99" s="12"/>
      <c r="G99" s="12"/>
      <c r="H99" s="12"/>
      <c r="I99" s="12"/>
      <c r="J99" s="12"/>
    </row>
    <row r="100" spans="2:10" ht="12.75">
      <c r="B100" s="12"/>
      <c r="C100" s="12"/>
      <c r="D100" s="12"/>
      <c r="E100" s="12"/>
      <c r="F100" s="12"/>
      <c r="G100" s="12"/>
      <c r="H100" s="12"/>
      <c r="I100" s="12"/>
      <c r="J100" s="12"/>
    </row>
    <row r="101" spans="2:10" ht="12.75">
      <c r="B101" s="12"/>
      <c r="C101" s="12"/>
      <c r="D101" s="12"/>
      <c r="E101" s="12"/>
      <c r="F101" s="12"/>
      <c r="G101" s="12"/>
      <c r="H101" s="12"/>
      <c r="I101" s="12"/>
      <c r="J101" s="12"/>
    </row>
    <row r="102" spans="2:10" ht="12.75">
      <c r="B102" s="12"/>
      <c r="C102" s="12"/>
      <c r="D102" s="12"/>
      <c r="E102" s="12"/>
      <c r="F102" s="12"/>
      <c r="G102" s="12"/>
      <c r="H102" s="12"/>
      <c r="I102" s="12"/>
      <c r="J102" s="12"/>
    </row>
    <row r="103" spans="2:10" ht="12.75">
      <c r="B103" s="12"/>
      <c r="C103" s="12"/>
      <c r="D103" s="12"/>
      <c r="E103" s="12"/>
      <c r="F103" s="12"/>
      <c r="G103" s="12"/>
      <c r="H103" s="12"/>
      <c r="I103" s="12"/>
      <c r="J103" s="12"/>
    </row>
    <row r="104" spans="2:10" ht="12.75">
      <c r="B104" s="12"/>
      <c r="C104" s="12"/>
      <c r="D104" s="12"/>
      <c r="E104" s="12"/>
      <c r="F104" s="12"/>
      <c r="G104" s="12"/>
      <c r="H104" s="12"/>
      <c r="I104" s="12"/>
      <c r="J104" s="12"/>
    </row>
    <row r="105" spans="2:10" ht="12.75">
      <c r="B105" s="12"/>
      <c r="C105" s="12"/>
      <c r="D105" s="12"/>
      <c r="E105" s="12"/>
      <c r="F105" s="12"/>
      <c r="G105" s="12"/>
      <c r="H105" s="12"/>
      <c r="I105" s="12"/>
      <c r="J105" s="12"/>
    </row>
    <row r="106" spans="2:10" ht="12.75">
      <c r="B106" s="12"/>
      <c r="C106" s="12"/>
      <c r="D106" s="12"/>
      <c r="E106" s="12"/>
      <c r="F106" s="12"/>
      <c r="G106" s="12"/>
      <c r="H106" s="12"/>
      <c r="I106" s="12"/>
      <c r="J106" s="12"/>
    </row>
    <row r="107" spans="2:10" ht="12.75">
      <c r="B107" s="12"/>
      <c r="C107" s="12"/>
      <c r="D107" s="12"/>
      <c r="E107" s="12"/>
      <c r="F107" s="12"/>
      <c r="G107" s="12"/>
      <c r="H107" s="12"/>
      <c r="I107" s="12"/>
      <c r="J107" s="12"/>
    </row>
    <row r="108" spans="2:10" ht="12.75">
      <c r="B108" s="12"/>
      <c r="C108" s="12"/>
      <c r="D108" s="12"/>
      <c r="E108" s="12"/>
      <c r="F108" s="12"/>
      <c r="G108" s="12"/>
      <c r="H108" s="12"/>
      <c r="I108" s="12"/>
      <c r="J108" s="12"/>
    </row>
    <row r="109" spans="2:10" ht="12.75">
      <c r="B109" s="12"/>
      <c r="C109" s="12"/>
      <c r="D109" s="12"/>
      <c r="E109" s="12"/>
      <c r="F109" s="12"/>
      <c r="G109" s="12"/>
      <c r="H109" s="12"/>
      <c r="I109" s="12"/>
      <c r="J109" s="12"/>
    </row>
    <row r="110" spans="2:10" ht="12.75">
      <c r="B110" s="12"/>
      <c r="C110" s="12"/>
      <c r="D110" s="12"/>
      <c r="E110" s="12"/>
      <c r="F110" s="12"/>
      <c r="G110" s="12"/>
      <c r="H110" s="12"/>
      <c r="I110" s="12"/>
      <c r="J110" s="12"/>
    </row>
    <row r="111" spans="2:10" ht="12.75">
      <c r="B111" s="12"/>
      <c r="C111" s="12"/>
      <c r="D111" s="12"/>
      <c r="E111" s="12"/>
      <c r="F111" s="12"/>
      <c r="G111" s="12"/>
      <c r="H111" s="12"/>
      <c r="I111" s="12"/>
      <c r="J111" s="12"/>
    </row>
    <row r="112" spans="2:10" ht="12.75">
      <c r="B112" s="12"/>
      <c r="C112" s="12"/>
      <c r="D112" s="12"/>
      <c r="E112" s="12"/>
      <c r="F112" s="12"/>
      <c r="G112" s="12"/>
      <c r="H112" s="12"/>
      <c r="I112" s="12"/>
      <c r="J112" s="12"/>
    </row>
    <row r="113" spans="2:10" ht="12.75">
      <c r="B113" s="12"/>
      <c r="C113" s="12"/>
      <c r="D113" s="12"/>
      <c r="E113" s="12"/>
      <c r="F113" s="12"/>
      <c r="G113" s="12"/>
      <c r="H113" s="12"/>
      <c r="I113" s="12"/>
      <c r="J113" s="12"/>
    </row>
  </sheetData>
  <printOptions horizontalCentered="1"/>
  <pageMargins left="0.1968503937007874" right="0.1968503937007874" top="0.5905511811023623" bottom="0.3937007874015748" header="0.5118110236220472" footer="0.5118110236220472"/>
  <pageSetup horizontalDpi="600" verticalDpi="600" orientation="portrait" paperSize="9" scale="79"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sheetPr codeName="Blad6">
    <pageSetUpPr fitToPage="1"/>
  </sheetPr>
  <dimension ref="A1:J37"/>
  <sheetViews>
    <sheetView workbookViewId="0" topLeftCell="A1">
      <selection activeCell="D34" sqref="D34"/>
    </sheetView>
  </sheetViews>
  <sheetFormatPr defaultColWidth="9.140625" defaultRowHeight="12.75"/>
  <cols>
    <col min="1" max="1" width="31.57421875" style="0" customWidth="1"/>
    <col min="2" max="2" width="10.28125" style="0" customWidth="1"/>
    <col min="3" max="3" width="13.00390625" style="0" customWidth="1"/>
    <col min="4" max="4" width="10.8515625" style="0" customWidth="1"/>
    <col min="5" max="5" width="9.28125" style="0" bestFit="1" customWidth="1"/>
    <col min="6" max="6" width="10.8515625" style="0" customWidth="1"/>
    <col min="7" max="7" width="11.00390625" style="0" customWidth="1"/>
    <col min="8" max="8" width="9.7109375" style="0" bestFit="1" customWidth="1"/>
    <col min="9" max="9" width="10.28125" style="0" customWidth="1"/>
    <col min="10" max="10" width="12.00390625" style="0" customWidth="1"/>
  </cols>
  <sheetData>
    <row r="1" spans="1:10" ht="12.75">
      <c r="A1" s="1" t="s">
        <v>81</v>
      </c>
      <c r="B1" s="2"/>
      <c r="C1" s="2"/>
      <c r="D1" s="2"/>
      <c r="E1" s="2"/>
      <c r="F1" s="2"/>
      <c r="G1" s="2"/>
      <c r="H1" s="2"/>
      <c r="I1" s="2"/>
      <c r="J1" s="2"/>
    </row>
    <row r="2" spans="1:10" ht="12.75">
      <c r="A2" s="5" t="s">
        <v>23</v>
      </c>
      <c r="B2" s="6"/>
      <c r="C2" s="6"/>
      <c r="D2" s="6"/>
      <c r="E2" s="7"/>
      <c r="F2" s="7"/>
      <c r="G2" s="6"/>
      <c r="H2" s="6"/>
      <c r="I2" s="6"/>
      <c r="J2" s="6"/>
    </row>
    <row r="3" spans="1:10" ht="12.75">
      <c r="A3" s="6"/>
      <c r="B3" s="6"/>
      <c r="C3" s="6"/>
      <c r="D3" s="6"/>
      <c r="E3" s="7"/>
      <c r="F3" s="5"/>
      <c r="G3" s="6"/>
      <c r="H3" s="6"/>
      <c r="I3" s="6"/>
      <c r="J3" s="6"/>
    </row>
    <row r="4" spans="1:10" ht="12.75">
      <c r="A4" s="5" t="s">
        <v>85</v>
      </c>
      <c r="B4" s="6"/>
      <c r="C4" s="6"/>
      <c r="D4" s="6"/>
      <c r="E4" s="7"/>
      <c r="F4" s="7"/>
      <c r="G4" s="6"/>
      <c r="H4" s="6"/>
      <c r="I4" s="6"/>
      <c r="J4" s="6"/>
    </row>
    <row r="5" spans="1:10" ht="12.75">
      <c r="A5" s="4"/>
      <c r="B5" s="4"/>
      <c r="C5" s="4"/>
      <c r="D5" s="4"/>
      <c r="E5" s="4"/>
      <c r="F5" s="4"/>
      <c r="G5" s="4"/>
      <c r="H5" s="4"/>
      <c r="I5" s="4"/>
      <c r="J5" s="4"/>
    </row>
    <row r="6" spans="1:10" ht="12.75">
      <c r="A6" s="5" t="s">
        <v>74</v>
      </c>
      <c r="B6" s="61"/>
      <c r="C6" s="61"/>
      <c r="D6" s="61"/>
      <c r="E6" s="61"/>
      <c r="F6" s="62"/>
      <c r="G6" s="61"/>
      <c r="H6" s="61"/>
      <c r="I6" s="61"/>
      <c r="J6" s="61"/>
    </row>
    <row r="7" spans="1:10" ht="13.5" thickBot="1">
      <c r="A7" s="2"/>
      <c r="B7" s="12"/>
      <c r="C7" s="12"/>
      <c r="D7" s="12"/>
      <c r="E7" s="12"/>
      <c r="F7" s="12"/>
      <c r="G7" s="12"/>
      <c r="H7" s="12"/>
      <c r="I7" s="12"/>
      <c r="J7" s="12"/>
    </row>
    <row r="8" spans="1:10" ht="12.75">
      <c r="A8" s="63"/>
      <c r="B8" s="64" t="s">
        <v>24</v>
      </c>
      <c r="C8" s="65"/>
      <c r="D8" s="65"/>
      <c r="E8" s="64" t="s">
        <v>25</v>
      </c>
      <c r="F8" s="65"/>
      <c r="G8" s="65"/>
      <c r="H8" s="64" t="s">
        <v>4</v>
      </c>
      <c r="I8" s="65"/>
      <c r="J8" s="65"/>
    </row>
    <row r="9" spans="1:10" ht="12.75">
      <c r="A9" s="204" t="s">
        <v>26</v>
      </c>
      <c r="B9" s="162" t="s">
        <v>5</v>
      </c>
      <c r="C9" s="163" t="s">
        <v>6</v>
      </c>
      <c r="D9" s="163" t="s">
        <v>4</v>
      </c>
      <c r="E9" s="162" t="s">
        <v>5</v>
      </c>
      <c r="F9" s="163" t="s">
        <v>6</v>
      </c>
      <c r="G9" s="163" t="s">
        <v>4</v>
      </c>
      <c r="H9" s="162" t="s">
        <v>5</v>
      </c>
      <c r="I9" s="163" t="s">
        <v>6</v>
      </c>
      <c r="J9" s="163" t="s">
        <v>4</v>
      </c>
    </row>
    <row r="10" spans="1:10" ht="12.75">
      <c r="A10" s="69"/>
      <c r="B10" s="13"/>
      <c r="C10" s="70"/>
      <c r="D10" s="70"/>
      <c r="E10" s="13"/>
      <c r="F10" s="70"/>
      <c r="G10" s="70"/>
      <c r="H10" s="13"/>
      <c r="I10" s="70"/>
      <c r="J10" s="70"/>
    </row>
    <row r="11" spans="1:10" ht="12.75">
      <c r="A11" s="2" t="s">
        <v>27</v>
      </c>
      <c r="B11" s="11">
        <f>0-0+0</f>
        <v>0</v>
      </c>
      <c r="C11" s="12">
        <f>0-0+0</f>
        <v>0</v>
      </c>
      <c r="D11" s="12">
        <f>SUM(B11:C11)</f>
        <v>0</v>
      </c>
      <c r="E11" s="11">
        <f>1132-1-0+0</f>
        <v>1131</v>
      </c>
      <c r="F11" s="12">
        <f>5079-8-1+0</f>
        <v>5070</v>
      </c>
      <c r="G11" s="12">
        <f aca="true" t="shared" si="0" ref="G11:G19">SUM(E11:F11)</f>
        <v>6201</v>
      </c>
      <c r="H11" s="11">
        <f>SUM(B11,E11)</f>
        <v>1131</v>
      </c>
      <c r="I11" s="25">
        <f aca="true" t="shared" si="1" ref="I11:I19">SUM(C11,F11)</f>
        <v>5070</v>
      </c>
      <c r="J11" s="12">
        <f aca="true" t="shared" si="2" ref="J11:J19">SUM(H11:I11)</f>
        <v>6201</v>
      </c>
    </row>
    <row r="12" spans="1:10" ht="12.75">
      <c r="A12" s="2" t="s">
        <v>28</v>
      </c>
      <c r="B12" s="11">
        <f>929-0+0</f>
        <v>929</v>
      </c>
      <c r="C12" s="12">
        <f>3661-0+0</f>
        <v>3661</v>
      </c>
      <c r="D12" s="12">
        <f aca="true" t="shared" si="3" ref="D12:D19">SUM(B12:C12)</f>
        <v>4590</v>
      </c>
      <c r="E12" s="11">
        <f>4072-11-1+0</f>
        <v>4060</v>
      </c>
      <c r="F12" s="12">
        <f>12619-99-5+1</f>
        <v>12516</v>
      </c>
      <c r="G12" s="12">
        <f t="shared" si="0"/>
        <v>16576</v>
      </c>
      <c r="H12" s="11">
        <f aca="true" t="shared" si="4" ref="H12:H19">SUM(B12,E12)</f>
        <v>4989</v>
      </c>
      <c r="I12" s="25">
        <f t="shared" si="1"/>
        <v>16177</v>
      </c>
      <c r="J12" s="12">
        <f t="shared" si="2"/>
        <v>21166</v>
      </c>
    </row>
    <row r="13" spans="1:10" ht="12.75">
      <c r="A13" s="2" t="s">
        <v>29</v>
      </c>
      <c r="B13" s="11">
        <f>3043-1+0</f>
        <v>3042</v>
      </c>
      <c r="C13" s="12">
        <f>9615-1+0</f>
        <v>9614</v>
      </c>
      <c r="D13" s="12">
        <f t="shared" si="3"/>
        <v>12656</v>
      </c>
      <c r="E13" s="11">
        <f>2835-24-3+3</f>
        <v>2811</v>
      </c>
      <c r="F13" s="12">
        <f>6242-146-2+0</f>
        <v>6094</v>
      </c>
      <c r="G13" s="12">
        <f t="shared" si="0"/>
        <v>8905</v>
      </c>
      <c r="H13" s="11">
        <f t="shared" si="4"/>
        <v>5853</v>
      </c>
      <c r="I13" s="25">
        <f t="shared" si="1"/>
        <v>15708</v>
      </c>
      <c r="J13" s="12">
        <f t="shared" si="2"/>
        <v>21561</v>
      </c>
    </row>
    <row r="14" spans="1:10" ht="12.75">
      <c r="A14" s="2" t="s">
        <v>30</v>
      </c>
      <c r="B14" s="13">
        <f>3290-1+1</f>
        <v>3290</v>
      </c>
      <c r="C14" s="12">
        <f>10821-2+0</f>
        <v>10819</v>
      </c>
      <c r="D14" s="12">
        <f t="shared" si="3"/>
        <v>14109</v>
      </c>
      <c r="E14" s="11">
        <f>1701-23-0+0</f>
        <v>1678</v>
      </c>
      <c r="F14" s="12">
        <f>3087-106-1+0</f>
        <v>2980</v>
      </c>
      <c r="G14" s="12">
        <f t="shared" si="0"/>
        <v>4658</v>
      </c>
      <c r="H14" s="11">
        <f t="shared" si="4"/>
        <v>4968</v>
      </c>
      <c r="I14" s="25">
        <f t="shared" si="1"/>
        <v>13799</v>
      </c>
      <c r="J14" s="12">
        <f t="shared" si="2"/>
        <v>18767</v>
      </c>
    </row>
    <row r="15" spans="1:10" ht="12.75">
      <c r="A15" s="2" t="s">
        <v>31</v>
      </c>
      <c r="B15" s="13">
        <f>3921-8+0</f>
        <v>3913</v>
      </c>
      <c r="C15" s="12">
        <f>11263-7+0</f>
        <v>11256</v>
      </c>
      <c r="D15" s="12">
        <f t="shared" si="3"/>
        <v>15169</v>
      </c>
      <c r="E15" s="11">
        <f>1383-13-1+1</f>
        <v>1370</v>
      </c>
      <c r="F15" s="12">
        <f>2242-71-2+1</f>
        <v>2170</v>
      </c>
      <c r="G15" s="12">
        <f t="shared" si="0"/>
        <v>3540</v>
      </c>
      <c r="H15" s="11">
        <f t="shared" si="4"/>
        <v>5283</v>
      </c>
      <c r="I15" s="25">
        <f t="shared" si="1"/>
        <v>13426</v>
      </c>
      <c r="J15" s="12">
        <f t="shared" si="2"/>
        <v>18709</v>
      </c>
    </row>
    <row r="16" spans="1:10" ht="12.75">
      <c r="A16" s="2" t="s">
        <v>32</v>
      </c>
      <c r="B16" s="13">
        <f>5273-18+0</f>
        <v>5255</v>
      </c>
      <c r="C16" s="12">
        <f>13488-33+4</f>
        <v>13459</v>
      </c>
      <c r="D16" s="12">
        <f t="shared" si="3"/>
        <v>18714</v>
      </c>
      <c r="E16" s="11">
        <f>1216-20-2+0</f>
        <v>1194</v>
      </c>
      <c r="F16" s="12">
        <f>1683-90-1+0</f>
        <v>1592</v>
      </c>
      <c r="G16" s="12">
        <f t="shared" si="0"/>
        <v>2786</v>
      </c>
      <c r="H16" s="11">
        <f t="shared" si="4"/>
        <v>6449</v>
      </c>
      <c r="I16" s="25">
        <f t="shared" si="1"/>
        <v>15051</v>
      </c>
      <c r="J16" s="12">
        <f t="shared" si="2"/>
        <v>21500</v>
      </c>
    </row>
    <row r="17" spans="1:10" ht="12.75">
      <c r="A17" s="2" t="s">
        <v>33</v>
      </c>
      <c r="B17" s="13">
        <f>6818-63+9</f>
        <v>6764</v>
      </c>
      <c r="C17" s="12">
        <f>12067-41+11</f>
        <v>12037</v>
      </c>
      <c r="D17" s="12">
        <f t="shared" si="3"/>
        <v>18801</v>
      </c>
      <c r="E17" s="11">
        <f>855-20-0+0</f>
        <v>835</v>
      </c>
      <c r="F17" s="12">
        <f>900-84-0+0</f>
        <v>816</v>
      </c>
      <c r="G17" s="12">
        <f t="shared" si="0"/>
        <v>1651</v>
      </c>
      <c r="H17" s="11">
        <f t="shared" si="4"/>
        <v>7599</v>
      </c>
      <c r="I17" s="25">
        <f t="shared" si="1"/>
        <v>12853</v>
      </c>
      <c r="J17" s="12">
        <f t="shared" si="2"/>
        <v>20452</v>
      </c>
    </row>
    <row r="18" spans="1:10" ht="12.75">
      <c r="A18" s="2" t="s">
        <v>34</v>
      </c>
      <c r="B18" s="13">
        <f>7708-140+70</f>
        <v>7638</v>
      </c>
      <c r="C18" s="12">
        <f>11562-177+143</f>
        <v>11528</v>
      </c>
      <c r="D18" s="12">
        <f t="shared" si="3"/>
        <v>19166</v>
      </c>
      <c r="E18" s="11">
        <f>442-13-0+0</f>
        <v>429</v>
      </c>
      <c r="F18" s="12">
        <f>293-35+0</f>
        <v>258</v>
      </c>
      <c r="G18" s="12">
        <f t="shared" si="0"/>
        <v>687</v>
      </c>
      <c r="H18" s="11">
        <f t="shared" si="4"/>
        <v>8067</v>
      </c>
      <c r="I18" s="25">
        <f t="shared" si="1"/>
        <v>11786</v>
      </c>
      <c r="J18" s="12">
        <f t="shared" si="2"/>
        <v>19853</v>
      </c>
    </row>
    <row r="19" spans="1:10" ht="12.75">
      <c r="A19" s="2" t="s">
        <v>35</v>
      </c>
      <c r="B19" s="13">
        <f>2458-106+55</f>
        <v>2407</v>
      </c>
      <c r="C19" s="12">
        <f>2644-111+103</f>
        <v>2636</v>
      </c>
      <c r="D19" s="71">
        <f t="shared" si="3"/>
        <v>5043</v>
      </c>
      <c r="E19" s="11">
        <f>287-0-0+0</f>
        <v>287</v>
      </c>
      <c r="F19" s="12">
        <f>140-8-1+0</f>
        <v>131</v>
      </c>
      <c r="G19" s="71">
        <f t="shared" si="0"/>
        <v>418</v>
      </c>
      <c r="H19" s="11">
        <f t="shared" si="4"/>
        <v>2694</v>
      </c>
      <c r="I19" s="71">
        <f t="shared" si="1"/>
        <v>2767</v>
      </c>
      <c r="J19" s="71">
        <f t="shared" si="2"/>
        <v>5461</v>
      </c>
    </row>
    <row r="20" spans="1:10" ht="12.75">
      <c r="A20" s="19" t="s">
        <v>4</v>
      </c>
      <c r="B20" s="72">
        <f aca="true" t="shared" si="5" ref="B20:J20">SUM(B11:B19)</f>
        <v>33238</v>
      </c>
      <c r="C20" s="73">
        <f>SUM(C11:C19)</f>
        <v>75010</v>
      </c>
      <c r="D20" s="73">
        <f t="shared" si="5"/>
        <v>108248</v>
      </c>
      <c r="E20" s="72">
        <f t="shared" si="5"/>
        <v>13795</v>
      </c>
      <c r="F20" s="73">
        <f t="shared" si="5"/>
        <v>31627</v>
      </c>
      <c r="G20" s="73">
        <f t="shared" si="5"/>
        <v>45422</v>
      </c>
      <c r="H20" s="72">
        <f t="shared" si="5"/>
        <v>47033</v>
      </c>
      <c r="I20" s="73">
        <f t="shared" si="5"/>
        <v>106637</v>
      </c>
      <c r="J20" s="73">
        <f t="shared" si="5"/>
        <v>153670</v>
      </c>
    </row>
    <row r="23" spans="1:10" ht="12.75">
      <c r="A23" s="5" t="s">
        <v>75</v>
      </c>
      <c r="B23" s="61"/>
      <c r="C23" s="61"/>
      <c r="D23" s="61"/>
      <c r="E23" s="61"/>
      <c r="F23" s="62"/>
      <c r="G23" s="61"/>
      <c r="H23" s="61"/>
      <c r="I23" s="61"/>
      <c r="J23" s="61"/>
    </row>
    <row r="24" spans="1:10" ht="13.5" thickBot="1">
      <c r="A24" s="2"/>
      <c r="B24" s="12"/>
      <c r="C24" s="12"/>
      <c r="D24" s="12"/>
      <c r="E24" s="12"/>
      <c r="F24" s="12"/>
      <c r="G24" s="12"/>
      <c r="H24" s="12"/>
      <c r="I24" s="12"/>
      <c r="J24" s="12"/>
    </row>
    <row r="25" spans="1:10" ht="12.75">
      <c r="A25" s="63"/>
      <c r="B25" s="64" t="s">
        <v>24</v>
      </c>
      <c r="C25" s="65"/>
      <c r="D25" s="65"/>
      <c r="E25" s="64" t="s">
        <v>25</v>
      </c>
      <c r="F25" s="65"/>
      <c r="G25" s="65"/>
      <c r="H25" s="64" t="s">
        <v>4</v>
      </c>
      <c r="I25" s="65"/>
      <c r="J25" s="65"/>
    </row>
    <row r="26" spans="1:10" ht="12.75">
      <c r="A26" s="204" t="s">
        <v>26</v>
      </c>
      <c r="B26" s="162" t="s">
        <v>5</v>
      </c>
      <c r="C26" s="163" t="s">
        <v>6</v>
      </c>
      <c r="D26" s="163" t="s">
        <v>4</v>
      </c>
      <c r="E26" s="162" t="s">
        <v>5</v>
      </c>
      <c r="F26" s="163" t="s">
        <v>6</v>
      </c>
      <c r="G26" s="163" t="s">
        <v>4</v>
      </c>
      <c r="H26" s="162" t="s">
        <v>5</v>
      </c>
      <c r="I26" s="163" t="s">
        <v>6</v>
      </c>
      <c r="J26" s="163" t="s">
        <v>4</v>
      </c>
    </row>
    <row r="27" spans="1:10" ht="12.75">
      <c r="A27" s="69"/>
      <c r="B27" s="13"/>
      <c r="C27" s="70"/>
      <c r="D27" s="70"/>
      <c r="E27" s="13"/>
      <c r="F27" s="70"/>
      <c r="G27" s="70"/>
      <c r="H27" s="13"/>
      <c r="I27" s="70"/>
      <c r="J27" s="70"/>
    </row>
    <row r="28" spans="1:10" ht="12.75">
      <c r="A28" s="2" t="s">
        <v>27</v>
      </c>
      <c r="B28" s="11">
        <f>0-0+0</f>
        <v>0</v>
      </c>
      <c r="C28" s="12">
        <f>0-0+0</f>
        <v>0</v>
      </c>
      <c r="D28" s="12">
        <f>SUM(B28:C28)</f>
        <v>0</v>
      </c>
      <c r="E28" s="11">
        <f>1132-0+0</f>
        <v>1132</v>
      </c>
      <c r="F28" s="12">
        <f>5079-1+0</f>
        <v>5078</v>
      </c>
      <c r="G28" s="12">
        <f aca="true" t="shared" si="6" ref="G28:G36">SUM(E28:F28)</f>
        <v>6210</v>
      </c>
      <c r="H28" s="11">
        <f>SUM(B28,E28)</f>
        <v>1132</v>
      </c>
      <c r="I28" s="25">
        <f aca="true" t="shared" si="7" ref="I28:I36">SUM(C28,F28)</f>
        <v>5078</v>
      </c>
      <c r="J28" s="12">
        <f aca="true" t="shared" si="8" ref="J28:J36">SUM(H28:I28)</f>
        <v>6210</v>
      </c>
    </row>
    <row r="29" spans="1:10" ht="12.75">
      <c r="A29" s="2" t="s">
        <v>28</v>
      </c>
      <c r="B29" s="11">
        <f>929-0+0</f>
        <v>929</v>
      </c>
      <c r="C29" s="12">
        <f>3661-0+0</f>
        <v>3661</v>
      </c>
      <c r="D29" s="12">
        <f aca="true" t="shared" si="9" ref="D29:D36">SUM(B29:C29)</f>
        <v>4590</v>
      </c>
      <c r="E29" s="11">
        <f>4072-1+0</f>
        <v>4071</v>
      </c>
      <c r="F29" s="12">
        <f>12619-5+1</f>
        <v>12615</v>
      </c>
      <c r="G29" s="12">
        <f t="shared" si="6"/>
        <v>16686</v>
      </c>
      <c r="H29" s="11">
        <f aca="true" t="shared" si="10" ref="H29:H36">SUM(B29,E29)</f>
        <v>5000</v>
      </c>
      <c r="I29" s="25">
        <f t="shared" si="7"/>
        <v>16276</v>
      </c>
      <c r="J29" s="12">
        <f t="shared" si="8"/>
        <v>21276</v>
      </c>
    </row>
    <row r="30" spans="1:10" ht="12.75">
      <c r="A30" s="2" t="s">
        <v>29</v>
      </c>
      <c r="B30" s="11">
        <f>3043-1+0</f>
        <v>3042</v>
      </c>
      <c r="C30" s="12">
        <f>9615-1+0</f>
        <v>9614</v>
      </c>
      <c r="D30" s="12">
        <f t="shared" si="9"/>
        <v>12656</v>
      </c>
      <c r="E30" s="11">
        <f>2835-3+3</f>
        <v>2835</v>
      </c>
      <c r="F30" s="12">
        <f>6242-2+0</f>
        <v>6240</v>
      </c>
      <c r="G30" s="12">
        <f t="shared" si="6"/>
        <v>9075</v>
      </c>
      <c r="H30" s="11">
        <f t="shared" si="10"/>
        <v>5877</v>
      </c>
      <c r="I30" s="25">
        <f t="shared" si="7"/>
        <v>15854</v>
      </c>
      <c r="J30" s="12">
        <f t="shared" si="8"/>
        <v>21731</v>
      </c>
    </row>
    <row r="31" spans="1:10" ht="12.75">
      <c r="A31" s="2" t="s">
        <v>30</v>
      </c>
      <c r="B31" s="13">
        <f>3290-1+1</f>
        <v>3290</v>
      </c>
      <c r="C31" s="12">
        <f>10821-2+0</f>
        <v>10819</v>
      </c>
      <c r="D31" s="12">
        <f t="shared" si="9"/>
        <v>14109</v>
      </c>
      <c r="E31" s="11">
        <f>1701-0+0</f>
        <v>1701</v>
      </c>
      <c r="F31" s="12">
        <f>3087-1+0</f>
        <v>3086</v>
      </c>
      <c r="G31" s="12">
        <f t="shared" si="6"/>
        <v>4787</v>
      </c>
      <c r="H31" s="11">
        <f t="shared" si="10"/>
        <v>4991</v>
      </c>
      <c r="I31" s="25">
        <f t="shared" si="7"/>
        <v>13905</v>
      </c>
      <c r="J31" s="12">
        <f t="shared" si="8"/>
        <v>18896</v>
      </c>
    </row>
    <row r="32" spans="1:10" ht="12.75">
      <c r="A32" s="2" t="s">
        <v>31</v>
      </c>
      <c r="B32" s="13">
        <f>3921-8</f>
        <v>3913</v>
      </c>
      <c r="C32" s="12">
        <f>11263-7+0</f>
        <v>11256</v>
      </c>
      <c r="D32" s="12">
        <f t="shared" si="9"/>
        <v>15169</v>
      </c>
      <c r="E32" s="11">
        <f>1383-1+1</f>
        <v>1383</v>
      </c>
      <c r="F32" s="12">
        <f>2242-2+1</f>
        <v>2241</v>
      </c>
      <c r="G32" s="12">
        <f t="shared" si="6"/>
        <v>3624</v>
      </c>
      <c r="H32" s="11">
        <f t="shared" si="10"/>
        <v>5296</v>
      </c>
      <c r="I32" s="25">
        <f t="shared" si="7"/>
        <v>13497</v>
      </c>
      <c r="J32" s="12">
        <f t="shared" si="8"/>
        <v>18793</v>
      </c>
    </row>
    <row r="33" spans="1:10" ht="12.75">
      <c r="A33" s="2" t="s">
        <v>32</v>
      </c>
      <c r="B33" s="13">
        <f>5273-18+0</f>
        <v>5255</v>
      </c>
      <c r="C33" s="12">
        <f>13488-33+4</f>
        <v>13459</v>
      </c>
      <c r="D33" s="12">
        <f t="shared" si="9"/>
        <v>18714</v>
      </c>
      <c r="E33" s="11">
        <f>1216-2+0</f>
        <v>1214</v>
      </c>
      <c r="F33" s="12">
        <f>1683-1+0</f>
        <v>1682</v>
      </c>
      <c r="G33" s="12">
        <f t="shared" si="6"/>
        <v>2896</v>
      </c>
      <c r="H33" s="11">
        <f t="shared" si="10"/>
        <v>6469</v>
      </c>
      <c r="I33" s="25">
        <f t="shared" si="7"/>
        <v>15141</v>
      </c>
      <c r="J33" s="12">
        <f t="shared" si="8"/>
        <v>21610</v>
      </c>
    </row>
    <row r="34" spans="1:10" ht="12.75">
      <c r="A34" s="2" t="s">
        <v>33</v>
      </c>
      <c r="B34" s="13">
        <f>6818-63+9</f>
        <v>6764</v>
      </c>
      <c r="C34" s="12">
        <f>12067-41+11</f>
        <v>12037</v>
      </c>
      <c r="D34" s="12">
        <f t="shared" si="9"/>
        <v>18801</v>
      </c>
      <c r="E34" s="11">
        <f>855-0+0</f>
        <v>855</v>
      </c>
      <c r="F34" s="12">
        <f>900-0+0</f>
        <v>900</v>
      </c>
      <c r="G34" s="12">
        <f t="shared" si="6"/>
        <v>1755</v>
      </c>
      <c r="H34" s="11">
        <f t="shared" si="10"/>
        <v>7619</v>
      </c>
      <c r="I34" s="25">
        <f t="shared" si="7"/>
        <v>12937</v>
      </c>
      <c r="J34" s="12">
        <f t="shared" si="8"/>
        <v>20556</v>
      </c>
    </row>
    <row r="35" spans="1:10" ht="12.75">
      <c r="A35" s="2" t="s">
        <v>34</v>
      </c>
      <c r="B35" s="13">
        <f>7708-140+70</f>
        <v>7638</v>
      </c>
      <c r="C35" s="12">
        <f>11562-177+143</f>
        <v>11528</v>
      </c>
      <c r="D35" s="12">
        <f t="shared" si="9"/>
        <v>19166</v>
      </c>
      <c r="E35" s="11">
        <f>442-0+0</f>
        <v>442</v>
      </c>
      <c r="F35" s="12">
        <f>293-0+0</f>
        <v>293</v>
      </c>
      <c r="G35" s="12">
        <f t="shared" si="6"/>
        <v>735</v>
      </c>
      <c r="H35" s="11">
        <f t="shared" si="10"/>
        <v>8080</v>
      </c>
      <c r="I35" s="25">
        <f t="shared" si="7"/>
        <v>11821</v>
      </c>
      <c r="J35" s="12">
        <f t="shared" si="8"/>
        <v>19901</v>
      </c>
    </row>
    <row r="36" spans="1:10" ht="12.75">
      <c r="A36" s="2" t="s">
        <v>35</v>
      </c>
      <c r="B36" s="13">
        <f>2458-106+55</f>
        <v>2407</v>
      </c>
      <c r="C36" s="12">
        <f>2644-111+103</f>
        <v>2636</v>
      </c>
      <c r="D36" s="71">
        <f t="shared" si="9"/>
        <v>5043</v>
      </c>
      <c r="E36" s="11">
        <f>287-0+0</f>
        <v>287</v>
      </c>
      <c r="F36" s="12">
        <f>140-1+0</f>
        <v>139</v>
      </c>
      <c r="G36" s="71">
        <f t="shared" si="6"/>
        <v>426</v>
      </c>
      <c r="H36" s="11">
        <f t="shared" si="10"/>
        <v>2694</v>
      </c>
      <c r="I36" s="71">
        <f t="shared" si="7"/>
        <v>2775</v>
      </c>
      <c r="J36" s="71">
        <f t="shared" si="8"/>
        <v>5469</v>
      </c>
    </row>
    <row r="37" spans="1:10" ht="12.75">
      <c r="A37" s="19" t="s">
        <v>4</v>
      </c>
      <c r="B37" s="72">
        <f aca="true" t="shared" si="11" ref="B37:J37">SUM(B28:B36)</f>
        <v>33238</v>
      </c>
      <c r="C37" s="73">
        <f t="shared" si="11"/>
        <v>75010</v>
      </c>
      <c r="D37" s="73">
        <f t="shared" si="11"/>
        <v>108248</v>
      </c>
      <c r="E37" s="72">
        <f t="shared" si="11"/>
        <v>13920</v>
      </c>
      <c r="F37" s="73">
        <f t="shared" si="11"/>
        <v>32274</v>
      </c>
      <c r="G37" s="73">
        <f t="shared" si="11"/>
        <v>46194</v>
      </c>
      <c r="H37" s="72">
        <f t="shared" si="11"/>
        <v>47158</v>
      </c>
      <c r="I37" s="73">
        <f t="shared" si="11"/>
        <v>107284</v>
      </c>
      <c r="J37" s="73">
        <f t="shared" si="11"/>
        <v>154442</v>
      </c>
    </row>
  </sheetData>
  <printOptions horizontalCentered="1"/>
  <pageMargins left="0.3937007874015748" right="0.3937007874015748" top="0.7874015748031497" bottom="0.3937007874015748" header="0.5118110236220472" footer="0.5118110236220472"/>
  <pageSetup fitToHeight="1" fitToWidth="1" horizontalDpi="300" verticalDpi="300" orientation="portrait" paperSize="9" scale="74"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sheetPr codeName="Blad7"/>
  <dimension ref="A1:S78"/>
  <sheetViews>
    <sheetView workbookViewId="0" topLeftCell="A1">
      <selection activeCell="B35" sqref="B35"/>
    </sheetView>
  </sheetViews>
  <sheetFormatPr defaultColWidth="9.140625" defaultRowHeight="12.75"/>
  <cols>
    <col min="1" max="1" width="33.140625" style="77" customWidth="1"/>
    <col min="2" max="2" width="11.00390625" style="77" customWidth="1"/>
    <col min="3" max="3" width="10.28125" style="77" customWidth="1"/>
    <col min="4" max="4" width="9.7109375" style="77" customWidth="1"/>
    <col min="5" max="5" width="7.8515625" style="77" customWidth="1"/>
    <col min="6" max="6" width="11.00390625" style="77" customWidth="1"/>
    <col min="7" max="7" width="10.00390625" style="77" customWidth="1"/>
    <col min="8" max="8" width="7.8515625" style="77" customWidth="1"/>
    <col min="9" max="9" width="10.00390625" style="77" customWidth="1"/>
    <col min="10" max="10" width="10.28125" style="77" customWidth="1"/>
    <col min="11" max="12" width="7.8515625" style="77" customWidth="1"/>
    <col min="13" max="13" width="11.00390625" style="77" customWidth="1"/>
    <col min="14" max="14" width="10.00390625" style="77" customWidth="1"/>
    <col min="15" max="15" width="10.28125" style="77" customWidth="1"/>
    <col min="16" max="16" width="10.7109375" style="77" customWidth="1"/>
    <col min="17" max="17" width="9.7109375" style="77" customWidth="1"/>
    <col min="18" max="19" width="10.421875" style="77" customWidth="1"/>
    <col min="20" max="16384" width="9.140625" style="77" customWidth="1"/>
  </cols>
  <sheetData>
    <row r="1" spans="1:19" ht="12.75">
      <c r="A1" s="74" t="s">
        <v>81</v>
      </c>
      <c r="B1" s="75"/>
      <c r="C1" s="75"/>
      <c r="D1" s="75"/>
      <c r="E1" s="76"/>
      <c r="F1" s="75"/>
      <c r="G1" s="75"/>
      <c r="H1" s="75"/>
      <c r="I1" s="75"/>
      <c r="J1" s="75"/>
      <c r="K1" s="75"/>
      <c r="L1" s="75"/>
      <c r="M1" s="75"/>
      <c r="N1" s="75"/>
      <c r="O1" s="75"/>
      <c r="P1" s="75"/>
      <c r="Q1" s="75"/>
      <c r="R1" s="75"/>
      <c r="S1" s="75"/>
    </row>
    <row r="2" spans="1:19" ht="12.75">
      <c r="A2" s="78" t="s">
        <v>54</v>
      </c>
      <c r="B2" s="79"/>
      <c r="C2" s="79"/>
      <c r="D2" s="78"/>
      <c r="E2" s="80"/>
      <c r="F2" s="79"/>
      <c r="G2" s="81"/>
      <c r="H2" s="79"/>
      <c r="I2" s="81"/>
      <c r="J2" s="79"/>
      <c r="K2" s="79"/>
      <c r="L2" s="79"/>
      <c r="M2" s="79"/>
      <c r="N2" s="79"/>
      <c r="O2" s="79"/>
      <c r="P2" s="79"/>
      <c r="Q2" s="79"/>
      <c r="R2" s="79"/>
      <c r="S2" s="79"/>
    </row>
    <row r="3" spans="1:19" ht="12.75">
      <c r="A3" s="78"/>
      <c r="B3" s="79"/>
      <c r="C3" s="79"/>
      <c r="D3" s="79"/>
      <c r="E3" s="80"/>
      <c r="F3" s="78"/>
      <c r="G3" s="81"/>
      <c r="H3" s="79"/>
      <c r="I3" s="81"/>
      <c r="J3" s="79"/>
      <c r="K3" s="79"/>
      <c r="L3" s="79"/>
      <c r="M3" s="79"/>
      <c r="N3" s="79"/>
      <c r="O3" s="79"/>
      <c r="P3" s="79"/>
      <c r="Q3" s="79"/>
      <c r="R3" s="79"/>
      <c r="S3" s="79"/>
    </row>
    <row r="4" spans="1:19" ht="12.75">
      <c r="A4" s="78" t="s">
        <v>84</v>
      </c>
      <c r="B4" s="79"/>
      <c r="C4" s="79"/>
      <c r="D4" s="79"/>
      <c r="E4" s="80"/>
      <c r="F4" s="78"/>
      <c r="G4" s="81"/>
      <c r="H4" s="79"/>
      <c r="I4" s="81"/>
      <c r="J4" s="79"/>
      <c r="K4" s="79"/>
      <c r="L4" s="79"/>
      <c r="M4" s="79"/>
      <c r="N4" s="79"/>
      <c r="O4" s="79"/>
      <c r="P4" s="79"/>
      <c r="Q4" s="79"/>
      <c r="R4" s="79"/>
      <c r="S4" s="79"/>
    </row>
    <row r="5" spans="1:19" ht="13.5" thickBot="1">
      <c r="A5" s="75"/>
      <c r="B5" s="75"/>
      <c r="C5" s="75"/>
      <c r="D5" s="75"/>
      <c r="E5" s="76"/>
      <c r="F5" s="75"/>
      <c r="G5" s="75"/>
      <c r="H5" s="75"/>
      <c r="I5" s="75"/>
      <c r="J5" s="75"/>
      <c r="K5" s="75"/>
      <c r="L5" s="75"/>
      <c r="M5" s="75"/>
      <c r="N5" s="75"/>
      <c r="O5" s="75"/>
      <c r="P5" s="75"/>
      <c r="Q5" s="75"/>
      <c r="R5" s="75"/>
      <c r="S5" s="75"/>
    </row>
    <row r="6" spans="1:19" ht="12.75">
      <c r="A6" s="82"/>
      <c r="B6" s="153" t="s">
        <v>36</v>
      </c>
      <c r="C6" s="154"/>
      <c r="D6" s="154"/>
      <c r="E6" s="154"/>
      <c r="F6" s="154"/>
      <c r="G6" s="154"/>
      <c r="H6" s="153" t="s">
        <v>37</v>
      </c>
      <c r="I6" s="154"/>
      <c r="J6" s="154"/>
      <c r="K6" s="154"/>
      <c r="L6" s="154"/>
      <c r="M6" s="154"/>
      <c r="N6" s="153" t="s">
        <v>4</v>
      </c>
      <c r="O6" s="154"/>
      <c r="P6" s="154"/>
      <c r="Q6" s="154"/>
      <c r="R6" s="154"/>
      <c r="S6" s="154"/>
    </row>
    <row r="7" spans="1:19" ht="12.75">
      <c r="A7" s="76"/>
      <c r="B7" s="155" t="s">
        <v>24</v>
      </c>
      <c r="C7" s="156"/>
      <c r="D7" s="156"/>
      <c r="E7" s="155" t="s">
        <v>25</v>
      </c>
      <c r="F7" s="156"/>
      <c r="G7" s="156"/>
      <c r="H7" s="155" t="s">
        <v>24</v>
      </c>
      <c r="I7" s="156"/>
      <c r="J7" s="156"/>
      <c r="K7" s="155" t="s">
        <v>25</v>
      </c>
      <c r="L7" s="156"/>
      <c r="M7" s="156"/>
      <c r="N7" s="155" t="s">
        <v>24</v>
      </c>
      <c r="O7" s="156"/>
      <c r="P7" s="156"/>
      <c r="Q7" s="155" t="s">
        <v>25</v>
      </c>
      <c r="R7" s="156"/>
      <c r="S7" s="156"/>
    </row>
    <row r="8" spans="1:19" ht="12.75">
      <c r="A8" s="83"/>
      <c r="B8" s="183" t="s">
        <v>5</v>
      </c>
      <c r="C8" s="184" t="s">
        <v>6</v>
      </c>
      <c r="D8" s="184" t="s">
        <v>4</v>
      </c>
      <c r="E8" s="183" t="s">
        <v>5</v>
      </c>
      <c r="F8" s="184" t="s">
        <v>6</v>
      </c>
      <c r="G8" s="184" t="s">
        <v>4</v>
      </c>
      <c r="H8" s="183" t="s">
        <v>5</v>
      </c>
      <c r="I8" s="184" t="s">
        <v>6</v>
      </c>
      <c r="J8" s="184" t="s">
        <v>4</v>
      </c>
      <c r="K8" s="183" t="s">
        <v>5</v>
      </c>
      <c r="L8" s="184" t="s">
        <v>6</v>
      </c>
      <c r="M8" s="184" t="s">
        <v>4</v>
      </c>
      <c r="N8" s="183" t="s">
        <v>5</v>
      </c>
      <c r="O8" s="184" t="s">
        <v>6</v>
      </c>
      <c r="P8" s="184" t="s">
        <v>4</v>
      </c>
      <c r="Q8" s="183" t="s">
        <v>5</v>
      </c>
      <c r="R8" s="184" t="s">
        <v>6</v>
      </c>
      <c r="S8" s="184" t="s">
        <v>4</v>
      </c>
    </row>
    <row r="9" spans="1:19" ht="12.75">
      <c r="A9" s="74"/>
      <c r="B9" s="84"/>
      <c r="C9" s="74"/>
      <c r="D9" s="74"/>
      <c r="E9" s="85"/>
      <c r="F9" s="75"/>
      <c r="G9" s="75"/>
      <c r="H9" s="85"/>
      <c r="I9" s="75"/>
      <c r="J9" s="75"/>
      <c r="K9" s="85"/>
      <c r="L9" s="75"/>
      <c r="M9" s="75"/>
      <c r="N9" s="85"/>
      <c r="O9" s="75"/>
      <c r="P9" s="75"/>
      <c r="Q9" s="85"/>
      <c r="R9" s="75"/>
      <c r="S9" s="75"/>
    </row>
    <row r="10" spans="1:19" ht="12.75">
      <c r="A10" s="74" t="s">
        <v>7</v>
      </c>
      <c r="B10" s="86"/>
      <c r="C10" s="87"/>
      <c r="D10" s="87"/>
      <c r="E10" s="86"/>
      <c r="F10" s="87"/>
      <c r="G10" s="87"/>
      <c r="H10" s="86"/>
      <c r="I10" s="87"/>
      <c r="J10" s="87"/>
      <c r="K10" s="86"/>
      <c r="L10" s="87"/>
      <c r="M10" s="87"/>
      <c r="N10" s="86"/>
      <c r="O10" s="87"/>
      <c r="P10" s="87"/>
      <c r="Q10" s="86"/>
      <c r="R10" s="87"/>
      <c r="S10" s="87"/>
    </row>
    <row r="11" spans="1:19" ht="12.75">
      <c r="A11" s="75" t="s">
        <v>45</v>
      </c>
      <c r="B11" s="86">
        <v>483</v>
      </c>
      <c r="C11" s="87">
        <v>3105</v>
      </c>
      <c r="D11" s="87">
        <f>SUM(B11:C11)</f>
        <v>3588</v>
      </c>
      <c r="E11" s="86">
        <v>211</v>
      </c>
      <c r="F11" s="87">
        <v>1485</v>
      </c>
      <c r="G11" s="87">
        <f>SUM(E11:F11)</f>
        <v>1696</v>
      </c>
      <c r="H11" s="86">
        <v>138</v>
      </c>
      <c r="I11" s="87">
        <v>1235</v>
      </c>
      <c r="J11" s="87">
        <f>SUM(H11:I11)</f>
        <v>1373</v>
      </c>
      <c r="K11" s="86">
        <v>189</v>
      </c>
      <c r="L11" s="87">
        <v>1090</v>
      </c>
      <c r="M11" s="87">
        <f>SUM(K11:L11)</f>
        <v>1279</v>
      </c>
      <c r="N11" s="86">
        <f aca="true" t="shared" si="0" ref="N11:O14">SUM(B11,H11)</f>
        <v>621</v>
      </c>
      <c r="O11" s="87">
        <f t="shared" si="0"/>
        <v>4340</v>
      </c>
      <c r="P11" s="87">
        <f>SUM(N11:O11)</f>
        <v>4961</v>
      </c>
      <c r="Q11" s="86">
        <f aca="true" t="shared" si="1" ref="Q11:R14">SUM(E11,K11)</f>
        <v>400</v>
      </c>
      <c r="R11" s="87">
        <f t="shared" si="1"/>
        <v>2575</v>
      </c>
      <c r="S11" s="87">
        <f>SUM(Q11:R11)</f>
        <v>2975</v>
      </c>
    </row>
    <row r="12" spans="1:19" ht="12.75">
      <c r="A12" s="75" t="s">
        <v>8</v>
      </c>
      <c r="B12" s="86">
        <v>3231</v>
      </c>
      <c r="C12" s="87">
        <v>12780</v>
      </c>
      <c r="D12" s="87">
        <f>SUM(B12:C12)</f>
        <v>16011</v>
      </c>
      <c r="E12" s="86">
        <v>496</v>
      </c>
      <c r="F12" s="87">
        <v>3795</v>
      </c>
      <c r="G12" s="87">
        <f>SUM(E12:F12)</f>
        <v>4291</v>
      </c>
      <c r="H12" s="86">
        <v>867</v>
      </c>
      <c r="I12" s="87">
        <v>8015</v>
      </c>
      <c r="J12" s="87">
        <f>SUM(H12:I12)</f>
        <v>8882</v>
      </c>
      <c r="K12" s="86">
        <v>453</v>
      </c>
      <c r="L12" s="87">
        <v>3735</v>
      </c>
      <c r="M12" s="87">
        <f>SUM(K12:L12)</f>
        <v>4188</v>
      </c>
      <c r="N12" s="86">
        <f t="shared" si="0"/>
        <v>4098</v>
      </c>
      <c r="O12" s="87">
        <f t="shared" si="0"/>
        <v>20795</v>
      </c>
      <c r="P12" s="87">
        <f>SUM(N12:O12)</f>
        <v>24893</v>
      </c>
      <c r="Q12" s="86">
        <f t="shared" si="1"/>
        <v>949</v>
      </c>
      <c r="R12" s="87">
        <f t="shared" si="1"/>
        <v>7530</v>
      </c>
      <c r="S12" s="87">
        <f>SUM(Q12:R12)</f>
        <v>8479</v>
      </c>
    </row>
    <row r="13" spans="1:19" ht="12.75">
      <c r="A13" s="75" t="s">
        <v>9</v>
      </c>
      <c r="B13" s="86">
        <v>5</v>
      </c>
      <c r="C13" s="87">
        <v>14</v>
      </c>
      <c r="D13" s="87">
        <f>SUM(B13:C13)</f>
        <v>19</v>
      </c>
      <c r="E13" s="86">
        <v>0</v>
      </c>
      <c r="F13" s="87">
        <v>1</v>
      </c>
      <c r="G13" s="87">
        <f>SUM(E13:F13)</f>
        <v>1</v>
      </c>
      <c r="H13" s="86">
        <v>1</v>
      </c>
      <c r="I13" s="87">
        <v>6</v>
      </c>
      <c r="J13" s="87">
        <f>SUM(H13:I13)</f>
        <v>7</v>
      </c>
      <c r="K13" s="88">
        <v>0</v>
      </c>
      <c r="L13" s="87">
        <v>5</v>
      </c>
      <c r="M13" s="87">
        <f>SUM(K13:L13)</f>
        <v>5</v>
      </c>
      <c r="N13" s="86">
        <f t="shared" si="0"/>
        <v>6</v>
      </c>
      <c r="O13" s="87">
        <f t="shared" si="0"/>
        <v>20</v>
      </c>
      <c r="P13" s="87">
        <f>SUM(N13:O13)</f>
        <v>26</v>
      </c>
      <c r="Q13" s="86">
        <f t="shared" si="1"/>
        <v>0</v>
      </c>
      <c r="R13" s="87">
        <f t="shared" si="1"/>
        <v>6</v>
      </c>
      <c r="S13" s="87">
        <f>SUM(Q13:R13)</f>
        <v>6</v>
      </c>
    </row>
    <row r="14" spans="1:19" ht="12.75">
      <c r="A14" s="75" t="s">
        <v>10</v>
      </c>
      <c r="B14" s="86">
        <v>1147</v>
      </c>
      <c r="C14" s="87">
        <v>4917</v>
      </c>
      <c r="D14" s="87">
        <f>SUM(B14:C14)</f>
        <v>6064</v>
      </c>
      <c r="E14" s="86">
        <v>179</v>
      </c>
      <c r="F14" s="87">
        <v>1625</v>
      </c>
      <c r="G14" s="87">
        <f>SUM(E14:F14)</f>
        <v>1804</v>
      </c>
      <c r="H14" s="86">
        <v>378</v>
      </c>
      <c r="I14" s="87">
        <v>2731</v>
      </c>
      <c r="J14" s="87">
        <f>SUM(H14:I14)</f>
        <v>3109</v>
      </c>
      <c r="K14" s="86">
        <v>220</v>
      </c>
      <c r="L14" s="87">
        <v>1489</v>
      </c>
      <c r="M14" s="87">
        <f>SUM(K14:L14)</f>
        <v>1709</v>
      </c>
      <c r="N14" s="86">
        <f t="shared" si="0"/>
        <v>1525</v>
      </c>
      <c r="O14" s="87">
        <f t="shared" si="0"/>
        <v>7648</v>
      </c>
      <c r="P14" s="87">
        <f>SUM(N14:O14)</f>
        <v>9173</v>
      </c>
      <c r="Q14" s="86">
        <f t="shared" si="1"/>
        <v>399</v>
      </c>
      <c r="R14" s="87">
        <f t="shared" si="1"/>
        <v>3114</v>
      </c>
      <c r="S14" s="87">
        <f>SUM(Q14:R14)</f>
        <v>3513</v>
      </c>
    </row>
    <row r="15" spans="1:19" ht="12.75">
      <c r="A15" s="89" t="s">
        <v>4</v>
      </c>
      <c r="B15" s="90">
        <f>SUM(B11:B14)</f>
        <v>4866</v>
      </c>
      <c r="C15" s="91">
        <f aca="true" t="shared" si="2" ref="C15:S15">SUM(C11:C14)</f>
        <v>20816</v>
      </c>
      <c r="D15" s="91">
        <f t="shared" si="2"/>
        <v>25682</v>
      </c>
      <c r="E15" s="90">
        <f t="shared" si="2"/>
        <v>886</v>
      </c>
      <c r="F15" s="91">
        <f t="shared" si="2"/>
        <v>6906</v>
      </c>
      <c r="G15" s="91">
        <f t="shared" si="2"/>
        <v>7792</v>
      </c>
      <c r="H15" s="90">
        <f t="shared" si="2"/>
        <v>1384</v>
      </c>
      <c r="I15" s="91">
        <f t="shared" si="2"/>
        <v>11987</v>
      </c>
      <c r="J15" s="91">
        <f t="shared" si="2"/>
        <v>13371</v>
      </c>
      <c r="K15" s="90">
        <f t="shared" si="2"/>
        <v>862</v>
      </c>
      <c r="L15" s="91">
        <f t="shared" si="2"/>
        <v>6319</v>
      </c>
      <c r="M15" s="91">
        <f t="shared" si="2"/>
        <v>7181</v>
      </c>
      <c r="N15" s="90">
        <f t="shared" si="2"/>
        <v>6250</v>
      </c>
      <c r="O15" s="91">
        <f t="shared" si="2"/>
        <v>32803</v>
      </c>
      <c r="P15" s="91">
        <f t="shared" si="2"/>
        <v>39053</v>
      </c>
      <c r="Q15" s="90">
        <f t="shared" si="2"/>
        <v>1748</v>
      </c>
      <c r="R15" s="91">
        <f t="shared" si="2"/>
        <v>13225</v>
      </c>
      <c r="S15" s="91">
        <f t="shared" si="2"/>
        <v>14973</v>
      </c>
    </row>
    <row r="16" spans="1:19" ht="12.75">
      <c r="A16" s="76"/>
      <c r="B16" s="86"/>
      <c r="C16" s="87"/>
      <c r="D16" s="87"/>
      <c r="E16" s="86"/>
      <c r="F16" s="87"/>
      <c r="G16" s="87"/>
      <c r="H16" s="86"/>
      <c r="I16" s="87"/>
      <c r="J16" s="87"/>
      <c r="K16" s="86"/>
      <c r="L16" s="87"/>
      <c r="M16" s="87"/>
      <c r="N16" s="86"/>
      <c r="O16" s="87"/>
      <c r="P16" s="87"/>
      <c r="Q16" s="86"/>
      <c r="R16" s="87"/>
      <c r="S16" s="87"/>
    </row>
    <row r="17" spans="1:19" ht="12.75">
      <c r="A17" s="74" t="s">
        <v>11</v>
      </c>
      <c r="B17" s="86"/>
      <c r="C17" s="87"/>
      <c r="D17" s="87"/>
      <c r="E17" s="86"/>
      <c r="F17" s="87"/>
      <c r="G17" s="87"/>
      <c r="H17" s="86"/>
      <c r="I17" s="87"/>
      <c r="J17" s="87"/>
      <c r="K17" s="86"/>
      <c r="L17" s="87"/>
      <c r="M17" s="87"/>
      <c r="N17" s="86"/>
      <c r="O17" s="87"/>
      <c r="P17" s="87"/>
      <c r="Q17" s="86"/>
      <c r="R17" s="87"/>
      <c r="S17" s="87"/>
    </row>
    <row r="18" spans="1:19" ht="12.75">
      <c r="A18" s="75" t="s">
        <v>45</v>
      </c>
      <c r="B18" s="86">
        <v>147</v>
      </c>
      <c r="C18" s="170">
        <v>636</v>
      </c>
      <c r="D18" s="87">
        <f>SUM(B18:C18)</f>
        <v>783</v>
      </c>
      <c r="E18" s="86">
        <v>62</v>
      </c>
      <c r="F18" s="87">
        <v>324</v>
      </c>
      <c r="G18" s="87">
        <f>SUM(E18:F18)</f>
        <v>386</v>
      </c>
      <c r="H18" s="86">
        <v>29</v>
      </c>
      <c r="I18" s="87">
        <v>220</v>
      </c>
      <c r="J18" s="87">
        <f>SUM(H18:I18)</f>
        <v>249</v>
      </c>
      <c r="K18" s="86">
        <v>28</v>
      </c>
      <c r="L18" s="87">
        <v>148</v>
      </c>
      <c r="M18" s="87">
        <f>SUM(K18:L18)</f>
        <v>176</v>
      </c>
      <c r="N18" s="86">
        <f aca="true" t="shared" si="3" ref="N18:O21">SUM(B18,H18)</f>
        <v>176</v>
      </c>
      <c r="O18" s="87">
        <f t="shared" si="3"/>
        <v>856</v>
      </c>
      <c r="P18" s="87">
        <f>SUM(N18:O18)</f>
        <v>1032</v>
      </c>
      <c r="Q18" s="86">
        <f aca="true" t="shared" si="4" ref="Q18:R21">SUM(E18,K18)</f>
        <v>90</v>
      </c>
      <c r="R18" s="87">
        <f t="shared" si="4"/>
        <v>472</v>
      </c>
      <c r="S18" s="87">
        <f>SUM(Q18:R18)</f>
        <v>562</v>
      </c>
    </row>
    <row r="19" spans="1:19" ht="12.75">
      <c r="A19" s="75" t="s">
        <v>8</v>
      </c>
      <c r="B19" s="86">
        <v>497</v>
      </c>
      <c r="C19" s="87">
        <v>1582</v>
      </c>
      <c r="D19" s="87">
        <f>SUM(B19:C19)</f>
        <v>2079</v>
      </c>
      <c r="E19" s="86">
        <v>77</v>
      </c>
      <c r="F19" s="87">
        <v>578</v>
      </c>
      <c r="G19" s="87">
        <f>SUM(E19:F19)</f>
        <v>655</v>
      </c>
      <c r="H19" s="86">
        <v>91</v>
      </c>
      <c r="I19" s="87">
        <v>865</v>
      </c>
      <c r="J19" s="87">
        <f>SUM(H19:I19)</f>
        <v>956</v>
      </c>
      <c r="K19" s="86">
        <v>57</v>
      </c>
      <c r="L19" s="87">
        <v>383</v>
      </c>
      <c r="M19" s="87">
        <f>SUM(K19:L19)</f>
        <v>440</v>
      </c>
      <c r="N19" s="86">
        <f t="shared" si="3"/>
        <v>588</v>
      </c>
      <c r="O19" s="87">
        <f t="shared" si="3"/>
        <v>2447</v>
      </c>
      <c r="P19" s="87">
        <f>SUM(N19:O19)</f>
        <v>3035</v>
      </c>
      <c r="Q19" s="86">
        <f t="shared" si="4"/>
        <v>134</v>
      </c>
      <c r="R19" s="87">
        <f t="shared" si="4"/>
        <v>961</v>
      </c>
      <c r="S19" s="87">
        <f>SUM(Q19:R19)</f>
        <v>1095</v>
      </c>
    </row>
    <row r="20" spans="1:19" ht="12.75">
      <c r="A20" s="75" t="s">
        <v>9</v>
      </c>
      <c r="B20" s="86">
        <v>16</v>
      </c>
      <c r="C20" s="87">
        <v>59</v>
      </c>
      <c r="D20" s="87">
        <f>SUM(B20:C20)</f>
        <v>75</v>
      </c>
      <c r="E20" s="88">
        <v>5</v>
      </c>
      <c r="F20" s="92">
        <v>16</v>
      </c>
      <c r="G20" s="92">
        <f>SUM(E20:F20)</f>
        <v>21</v>
      </c>
      <c r="H20" s="88">
        <v>0</v>
      </c>
      <c r="I20" s="87">
        <v>22</v>
      </c>
      <c r="J20" s="87">
        <f>SUM(H20:I20)</f>
        <v>22</v>
      </c>
      <c r="K20" s="88">
        <v>1</v>
      </c>
      <c r="L20" s="92">
        <v>7</v>
      </c>
      <c r="M20" s="92">
        <f>SUM(K20:L20)</f>
        <v>8</v>
      </c>
      <c r="N20" s="86">
        <f t="shared" si="3"/>
        <v>16</v>
      </c>
      <c r="O20" s="87">
        <f t="shared" si="3"/>
        <v>81</v>
      </c>
      <c r="P20" s="87">
        <f>SUM(N20:O20)</f>
        <v>97</v>
      </c>
      <c r="Q20" s="88">
        <f t="shared" si="4"/>
        <v>6</v>
      </c>
      <c r="R20" s="87">
        <f t="shared" si="4"/>
        <v>23</v>
      </c>
      <c r="S20" s="87">
        <f>SUM(Q20:R20)</f>
        <v>29</v>
      </c>
    </row>
    <row r="21" spans="1:19" ht="12.75">
      <c r="A21" s="75" t="s">
        <v>10</v>
      </c>
      <c r="B21" s="86">
        <v>76</v>
      </c>
      <c r="C21" s="87">
        <v>350</v>
      </c>
      <c r="D21" s="87">
        <f>SUM(B21:C21)</f>
        <v>426</v>
      </c>
      <c r="E21" s="86">
        <v>15</v>
      </c>
      <c r="F21" s="87">
        <v>132</v>
      </c>
      <c r="G21" s="87">
        <f>SUM(E21:F21)</f>
        <v>147</v>
      </c>
      <c r="H21" s="86">
        <v>26</v>
      </c>
      <c r="I21" s="87">
        <v>178</v>
      </c>
      <c r="J21" s="87">
        <f>SUM(H21:I21)</f>
        <v>204</v>
      </c>
      <c r="K21" s="86">
        <v>16</v>
      </c>
      <c r="L21" s="87">
        <v>92</v>
      </c>
      <c r="M21" s="87">
        <f>SUM(K21:L21)</f>
        <v>108</v>
      </c>
      <c r="N21" s="86">
        <f t="shared" si="3"/>
        <v>102</v>
      </c>
      <c r="O21" s="87">
        <f t="shared" si="3"/>
        <v>528</v>
      </c>
      <c r="P21" s="87">
        <f>SUM(N21:O21)</f>
        <v>630</v>
      </c>
      <c r="Q21" s="86">
        <f t="shared" si="4"/>
        <v>31</v>
      </c>
      <c r="R21" s="87">
        <f t="shared" si="4"/>
        <v>224</v>
      </c>
      <c r="S21" s="87">
        <f>SUM(Q21:R21)</f>
        <v>255</v>
      </c>
    </row>
    <row r="22" spans="1:19" ht="12.75">
      <c r="A22" s="89" t="s">
        <v>4</v>
      </c>
      <c r="B22" s="90">
        <f aca="true" t="shared" si="5" ref="B22:S22">SUM(B18:B21)</f>
        <v>736</v>
      </c>
      <c r="C22" s="91">
        <f t="shared" si="5"/>
        <v>2627</v>
      </c>
      <c r="D22" s="91">
        <f t="shared" si="5"/>
        <v>3363</v>
      </c>
      <c r="E22" s="90">
        <f t="shared" si="5"/>
        <v>159</v>
      </c>
      <c r="F22" s="91">
        <f t="shared" si="5"/>
        <v>1050</v>
      </c>
      <c r="G22" s="91">
        <f t="shared" si="5"/>
        <v>1209</v>
      </c>
      <c r="H22" s="90">
        <f t="shared" si="5"/>
        <v>146</v>
      </c>
      <c r="I22" s="91">
        <f t="shared" si="5"/>
        <v>1285</v>
      </c>
      <c r="J22" s="91">
        <f t="shared" si="5"/>
        <v>1431</v>
      </c>
      <c r="K22" s="90">
        <f t="shared" si="5"/>
        <v>102</v>
      </c>
      <c r="L22" s="91">
        <f t="shared" si="5"/>
        <v>630</v>
      </c>
      <c r="M22" s="91">
        <f t="shared" si="5"/>
        <v>732</v>
      </c>
      <c r="N22" s="90">
        <f t="shared" si="5"/>
        <v>882</v>
      </c>
      <c r="O22" s="91">
        <f t="shared" si="5"/>
        <v>3912</v>
      </c>
      <c r="P22" s="91">
        <f t="shared" si="5"/>
        <v>4794</v>
      </c>
      <c r="Q22" s="90">
        <f t="shared" si="5"/>
        <v>261</v>
      </c>
      <c r="R22" s="91">
        <f t="shared" si="5"/>
        <v>1680</v>
      </c>
      <c r="S22" s="91">
        <f t="shared" si="5"/>
        <v>1941</v>
      </c>
    </row>
    <row r="23" spans="1:19" ht="12.75">
      <c r="A23" s="75"/>
      <c r="B23" s="86"/>
      <c r="C23" s="87"/>
      <c r="D23" s="87"/>
      <c r="E23" s="86"/>
      <c r="F23" s="87"/>
      <c r="G23" s="87"/>
      <c r="H23" s="86"/>
      <c r="I23" s="87"/>
      <c r="J23" s="87"/>
      <c r="K23" s="86"/>
      <c r="L23" s="87"/>
      <c r="M23" s="87"/>
      <c r="N23" s="86"/>
      <c r="O23" s="87"/>
      <c r="P23" s="87"/>
      <c r="Q23" s="86"/>
      <c r="R23" s="87"/>
      <c r="S23" s="87"/>
    </row>
    <row r="24" spans="1:19" ht="12.75">
      <c r="A24" s="205" t="s">
        <v>12</v>
      </c>
      <c r="D24" s="206"/>
      <c r="G24" s="206"/>
      <c r="J24" s="206"/>
      <c r="M24" s="87"/>
      <c r="N24" s="86"/>
      <c r="O24" s="87"/>
      <c r="P24" s="87"/>
      <c r="Q24" s="86"/>
      <c r="R24" s="87"/>
      <c r="S24" s="87"/>
    </row>
    <row r="25" spans="1:19" ht="12.75">
      <c r="A25" s="75" t="s">
        <v>45</v>
      </c>
      <c r="B25" s="86">
        <f>2516-7</f>
        <v>2509</v>
      </c>
      <c r="C25" s="87">
        <f>3108-29</f>
        <v>3079</v>
      </c>
      <c r="D25" s="87">
        <f>SUM(B25:C25)</f>
        <v>5588</v>
      </c>
      <c r="E25" s="86">
        <f>1149-7</f>
        <v>1142</v>
      </c>
      <c r="F25" s="87">
        <f>1569-23</f>
        <v>1546</v>
      </c>
      <c r="G25" s="87">
        <f>SUM(E25:F25)</f>
        <v>2688</v>
      </c>
      <c r="H25" s="86">
        <f>653-3</f>
        <v>650</v>
      </c>
      <c r="I25" s="87">
        <f>1540-10</f>
        <v>1530</v>
      </c>
      <c r="J25" s="87">
        <f>SUM(H25:I25)</f>
        <v>2180</v>
      </c>
      <c r="K25" s="86">
        <f>729-1</f>
        <v>728</v>
      </c>
      <c r="L25" s="87">
        <f>1152-9</f>
        <v>1143</v>
      </c>
      <c r="M25" s="87">
        <f>SUM(K25:L25)</f>
        <v>1871</v>
      </c>
      <c r="N25" s="86">
        <f>SUM(B25,H25)</f>
        <v>3159</v>
      </c>
      <c r="O25" s="87">
        <f>SUM(C25,I25)</f>
        <v>4609</v>
      </c>
      <c r="P25" s="87">
        <f>SUM(N25:O25)</f>
        <v>7768</v>
      </c>
      <c r="Q25" s="86">
        <f>SUM(E25,K25)</f>
        <v>1870</v>
      </c>
      <c r="R25" s="87">
        <f>SUM(F25,L25)</f>
        <v>2689</v>
      </c>
      <c r="S25" s="87">
        <f>SUM(Q25:R25)</f>
        <v>4559</v>
      </c>
    </row>
    <row r="26" spans="1:19" ht="12.75">
      <c r="A26" s="75" t="s">
        <v>8</v>
      </c>
      <c r="B26" s="86">
        <v>10593</v>
      </c>
      <c r="C26" s="87">
        <v>10899</v>
      </c>
      <c r="D26" s="87">
        <f>SUM(B26:C26)</f>
        <v>21492</v>
      </c>
      <c r="E26" s="86">
        <f>2443-26</f>
        <v>2417</v>
      </c>
      <c r="F26" s="87">
        <f>3589-134</f>
        <v>3455</v>
      </c>
      <c r="G26" s="87">
        <f>SUM(E26:F26)</f>
        <v>5872</v>
      </c>
      <c r="H26" s="86">
        <f>2819-10</f>
        <v>2809</v>
      </c>
      <c r="I26" s="87">
        <v>10121</v>
      </c>
      <c r="J26" s="87">
        <f>SUM(H26:I26)</f>
        <v>12930</v>
      </c>
      <c r="K26" s="86">
        <f>1361-9</f>
        <v>1352</v>
      </c>
      <c r="L26" s="87">
        <f>3162-75</f>
        <v>3087</v>
      </c>
      <c r="M26" s="87">
        <f>SUM(K26:L26)</f>
        <v>4439</v>
      </c>
      <c r="N26" s="86">
        <f aca="true" t="shared" si="6" ref="N26:O28">SUM(B26,H26)</f>
        <v>13402</v>
      </c>
      <c r="O26" s="87">
        <f t="shared" si="6"/>
        <v>21020</v>
      </c>
      <c r="P26" s="87">
        <f>SUM(N26:O26)</f>
        <v>34422</v>
      </c>
      <c r="Q26" s="86">
        <f aca="true" t="shared" si="7" ref="Q26:R28">SUM(E26,K26)</f>
        <v>3769</v>
      </c>
      <c r="R26" s="87">
        <f t="shared" si="7"/>
        <v>6542</v>
      </c>
      <c r="S26" s="87">
        <f>SUM(Q26:R26)</f>
        <v>10311</v>
      </c>
    </row>
    <row r="27" spans="1:19" ht="12.75">
      <c r="A27" s="75" t="s">
        <v>9</v>
      </c>
      <c r="B27" s="86">
        <f>782-8</f>
        <v>774</v>
      </c>
      <c r="C27" s="87">
        <f>581-42</f>
        <v>539</v>
      </c>
      <c r="D27" s="87">
        <f>SUM(B27:C27)</f>
        <v>1313</v>
      </c>
      <c r="E27" s="86">
        <f>196-2</f>
        <v>194</v>
      </c>
      <c r="F27" s="87">
        <f>190-14</f>
        <v>176</v>
      </c>
      <c r="G27" s="87">
        <f>SUM(E27:F27)</f>
        <v>370</v>
      </c>
      <c r="H27" s="86">
        <f>129-1</f>
        <v>128</v>
      </c>
      <c r="I27" s="87">
        <f>297-7</f>
        <v>290</v>
      </c>
      <c r="J27" s="87">
        <f>SUM(H27:I27)</f>
        <v>418</v>
      </c>
      <c r="K27" s="86">
        <f>108-0</f>
        <v>108</v>
      </c>
      <c r="L27" s="87">
        <f>145-3</f>
        <v>142</v>
      </c>
      <c r="M27" s="87">
        <f>SUM(K27:L27)</f>
        <v>250</v>
      </c>
      <c r="N27" s="86">
        <f t="shared" si="6"/>
        <v>902</v>
      </c>
      <c r="O27" s="87">
        <f t="shared" si="6"/>
        <v>829</v>
      </c>
      <c r="P27" s="87">
        <f>SUM(N27:O27)</f>
        <v>1731</v>
      </c>
      <c r="Q27" s="86">
        <f t="shared" si="7"/>
        <v>302</v>
      </c>
      <c r="R27" s="87">
        <f t="shared" si="7"/>
        <v>318</v>
      </c>
      <c r="S27" s="87">
        <f>SUM(Q27:R27)</f>
        <v>620</v>
      </c>
    </row>
    <row r="28" spans="1:19" ht="12.75">
      <c r="A28" s="75" t="s">
        <v>10</v>
      </c>
      <c r="B28" s="86">
        <f>957-3</f>
        <v>954</v>
      </c>
      <c r="C28" s="87">
        <f>894-11</f>
        <v>883</v>
      </c>
      <c r="D28" s="87">
        <f>SUM(B28:C28)</f>
        <v>1837</v>
      </c>
      <c r="E28" s="86">
        <f>298-0</f>
        <v>298</v>
      </c>
      <c r="F28" s="87">
        <f>309-4</f>
        <v>305</v>
      </c>
      <c r="G28" s="87">
        <f>SUM(E28:F28)</f>
        <v>603</v>
      </c>
      <c r="H28" s="86">
        <f>276-1</f>
        <v>275</v>
      </c>
      <c r="I28" s="87">
        <f>468-2</f>
        <v>466</v>
      </c>
      <c r="J28" s="87">
        <f>SUM(H28:I28)</f>
        <v>741</v>
      </c>
      <c r="K28" s="86">
        <f>192-1</f>
        <v>191</v>
      </c>
      <c r="L28" s="87">
        <f>253-2</f>
        <v>251</v>
      </c>
      <c r="M28" s="87">
        <f>SUM(K28:L28)</f>
        <v>442</v>
      </c>
      <c r="N28" s="86">
        <f t="shared" si="6"/>
        <v>1229</v>
      </c>
      <c r="O28" s="87">
        <f t="shared" si="6"/>
        <v>1349</v>
      </c>
      <c r="P28" s="87">
        <f>SUM(N28:O28)</f>
        <v>2578</v>
      </c>
      <c r="Q28" s="86">
        <f t="shared" si="7"/>
        <v>489</v>
      </c>
      <c r="R28" s="87">
        <f t="shared" si="7"/>
        <v>556</v>
      </c>
      <c r="S28" s="87">
        <f>SUM(Q28:R28)</f>
        <v>1045</v>
      </c>
    </row>
    <row r="29" spans="1:19" ht="12.75">
      <c r="A29" s="89" t="s">
        <v>4</v>
      </c>
      <c r="B29" s="90">
        <f>SUM(B25:B28)</f>
        <v>14830</v>
      </c>
      <c r="C29" s="91">
        <f>SUM(C25:C28)</f>
        <v>15400</v>
      </c>
      <c r="D29" s="91">
        <f aca="true" t="shared" si="8" ref="D29:S29">SUM(D25:D28)</f>
        <v>30230</v>
      </c>
      <c r="E29" s="90">
        <f>SUM(E25:E28)</f>
        <v>4051</v>
      </c>
      <c r="F29" s="91">
        <f>SUM(F25:F28)</f>
        <v>5482</v>
      </c>
      <c r="G29" s="91">
        <f t="shared" si="8"/>
        <v>9533</v>
      </c>
      <c r="H29" s="90">
        <f>SUM(H25:H28)</f>
        <v>3862</v>
      </c>
      <c r="I29" s="91">
        <f>SUM(I25:I28)</f>
        <v>12407</v>
      </c>
      <c r="J29" s="91">
        <f t="shared" si="8"/>
        <v>16269</v>
      </c>
      <c r="K29" s="90">
        <f>SUM(K25:K28)</f>
        <v>2379</v>
      </c>
      <c r="L29" s="91">
        <f>SUM(L25:L28)</f>
        <v>4623</v>
      </c>
      <c r="M29" s="91">
        <f t="shared" si="8"/>
        <v>7002</v>
      </c>
      <c r="N29" s="90">
        <f t="shared" si="8"/>
        <v>18692</v>
      </c>
      <c r="O29" s="91">
        <f t="shared" si="8"/>
        <v>27807</v>
      </c>
      <c r="P29" s="91">
        <f t="shared" si="8"/>
        <v>46499</v>
      </c>
      <c r="Q29" s="90">
        <f t="shared" si="8"/>
        <v>6430</v>
      </c>
      <c r="R29" s="91">
        <f t="shared" si="8"/>
        <v>10105</v>
      </c>
      <c r="S29" s="91">
        <f t="shared" si="8"/>
        <v>16535</v>
      </c>
    </row>
    <row r="30" spans="1:19" ht="12.75">
      <c r="A30" s="76"/>
      <c r="B30" s="86"/>
      <c r="C30" s="87"/>
      <c r="D30" s="87"/>
      <c r="E30" s="86"/>
      <c r="F30" s="87"/>
      <c r="G30" s="87"/>
      <c r="H30" s="86"/>
      <c r="I30" s="87"/>
      <c r="J30" s="87"/>
      <c r="K30" s="86"/>
      <c r="L30" s="87"/>
      <c r="M30" s="87"/>
      <c r="N30" s="86"/>
      <c r="O30" s="87"/>
      <c r="P30" s="87"/>
      <c r="Q30" s="86"/>
      <c r="R30" s="87"/>
      <c r="S30" s="87"/>
    </row>
    <row r="31" spans="1:19" ht="12.75">
      <c r="A31" s="74" t="s">
        <v>13</v>
      </c>
      <c r="B31" s="86"/>
      <c r="C31" s="87"/>
      <c r="D31" s="87"/>
      <c r="E31" s="86"/>
      <c r="F31" s="87"/>
      <c r="G31" s="87"/>
      <c r="H31" s="86"/>
      <c r="I31" s="87"/>
      <c r="J31" s="87"/>
      <c r="K31" s="86"/>
      <c r="L31" s="87"/>
      <c r="M31" s="87"/>
      <c r="N31" s="86"/>
      <c r="O31" s="87"/>
      <c r="P31" s="87"/>
      <c r="Q31" s="86"/>
      <c r="R31" s="87"/>
      <c r="S31" s="87"/>
    </row>
    <row r="32" spans="1:19" ht="12.75">
      <c r="A32" s="75" t="s">
        <v>45</v>
      </c>
      <c r="B32" s="86">
        <v>296</v>
      </c>
      <c r="C32" s="87">
        <v>443</v>
      </c>
      <c r="D32" s="87">
        <f>SUM(B32:C32)</f>
        <v>739</v>
      </c>
      <c r="E32" s="86">
        <v>142</v>
      </c>
      <c r="F32" s="87">
        <v>242</v>
      </c>
      <c r="G32" s="87">
        <f>SUM(E32:F32)</f>
        <v>384</v>
      </c>
      <c r="H32" s="86">
        <v>44</v>
      </c>
      <c r="I32" s="87">
        <v>107</v>
      </c>
      <c r="J32" s="87">
        <f>SUM(H32:I32)</f>
        <v>151</v>
      </c>
      <c r="K32" s="86">
        <v>61</v>
      </c>
      <c r="L32" s="87">
        <v>113</v>
      </c>
      <c r="M32" s="87">
        <f>SUM(K32:L32)</f>
        <v>174</v>
      </c>
      <c r="N32" s="86">
        <f aca="true" t="shared" si="9" ref="N32:O35">SUM(B32,H32)</f>
        <v>340</v>
      </c>
      <c r="O32" s="87">
        <f t="shared" si="9"/>
        <v>550</v>
      </c>
      <c r="P32" s="87">
        <f>SUM(N32:O32)</f>
        <v>890</v>
      </c>
      <c r="Q32" s="86">
        <f aca="true" t="shared" si="10" ref="Q32:R35">SUM(E32,K32)</f>
        <v>203</v>
      </c>
      <c r="R32" s="87">
        <f t="shared" si="10"/>
        <v>355</v>
      </c>
      <c r="S32" s="87">
        <f>SUM(Q32:R32)</f>
        <v>558</v>
      </c>
    </row>
    <row r="33" spans="1:19" ht="12.75">
      <c r="A33" s="75" t="s">
        <v>8</v>
      </c>
      <c r="B33" s="86">
        <v>966</v>
      </c>
      <c r="C33" s="87">
        <v>1289</v>
      </c>
      <c r="D33" s="87">
        <f>SUM(B33:C33)</f>
        <v>2255</v>
      </c>
      <c r="E33" s="86">
        <v>275</v>
      </c>
      <c r="F33" s="87">
        <v>488</v>
      </c>
      <c r="G33" s="87">
        <f>SUM(E33:F33)</f>
        <v>763</v>
      </c>
      <c r="H33" s="86">
        <v>183</v>
      </c>
      <c r="I33" s="87">
        <v>532</v>
      </c>
      <c r="J33" s="87">
        <f>SUM(H33:I33)</f>
        <v>715</v>
      </c>
      <c r="K33" s="86">
        <v>117</v>
      </c>
      <c r="L33" s="87">
        <v>326</v>
      </c>
      <c r="M33" s="87">
        <f>SUM(K33:L33)</f>
        <v>443</v>
      </c>
      <c r="N33" s="86">
        <f t="shared" si="9"/>
        <v>1149</v>
      </c>
      <c r="O33" s="87">
        <f t="shared" si="9"/>
        <v>1821</v>
      </c>
      <c r="P33" s="87">
        <f>SUM(N33:O33)</f>
        <v>2970</v>
      </c>
      <c r="Q33" s="86">
        <f t="shared" si="10"/>
        <v>392</v>
      </c>
      <c r="R33" s="87">
        <f t="shared" si="10"/>
        <v>814</v>
      </c>
      <c r="S33" s="87">
        <f>SUM(Q33:R33)</f>
        <v>1206</v>
      </c>
    </row>
    <row r="34" spans="1:19" ht="12.75">
      <c r="A34" s="75" t="s">
        <v>9</v>
      </c>
      <c r="B34" s="86">
        <v>41</v>
      </c>
      <c r="C34" s="87">
        <v>28</v>
      </c>
      <c r="D34" s="87">
        <f>SUM(B34:C34)</f>
        <v>69</v>
      </c>
      <c r="E34" s="86">
        <v>7</v>
      </c>
      <c r="F34" s="87">
        <v>16</v>
      </c>
      <c r="G34" s="87">
        <f>SUM(E34:F34)</f>
        <v>23</v>
      </c>
      <c r="H34" s="86">
        <v>6</v>
      </c>
      <c r="I34" s="87">
        <v>7</v>
      </c>
      <c r="J34" s="87">
        <f>SUM(H34:I34)</f>
        <v>13</v>
      </c>
      <c r="K34" s="88">
        <v>7</v>
      </c>
      <c r="L34" s="87">
        <v>5</v>
      </c>
      <c r="M34" s="87">
        <f>SUM(K34:L34)</f>
        <v>12</v>
      </c>
      <c r="N34" s="86">
        <f t="shared" si="9"/>
        <v>47</v>
      </c>
      <c r="O34" s="87">
        <f t="shared" si="9"/>
        <v>35</v>
      </c>
      <c r="P34" s="87">
        <f>SUM(N34:O34)</f>
        <v>82</v>
      </c>
      <c r="Q34" s="86">
        <f t="shared" si="10"/>
        <v>14</v>
      </c>
      <c r="R34" s="87">
        <f t="shared" si="10"/>
        <v>21</v>
      </c>
      <c r="S34" s="87">
        <f>SUM(Q34:R34)</f>
        <v>35</v>
      </c>
    </row>
    <row r="35" spans="1:19" ht="12.75">
      <c r="A35" s="75" t="s">
        <v>10</v>
      </c>
      <c r="B35" s="86">
        <v>205</v>
      </c>
      <c r="C35" s="87">
        <v>215</v>
      </c>
      <c r="D35" s="87">
        <f>SUM(B35:C35)</f>
        <v>420</v>
      </c>
      <c r="E35" s="86">
        <v>66</v>
      </c>
      <c r="F35" s="87">
        <v>91</v>
      </c>
      <c r="G35" s="87">
        <f>SUM(E35:F35)</f>
        <v>157</v>
      </c>
      <c r="H35" s="86">
        <v>37</v>
      </c>
      <c r="I35" s="87">
        <v>60</v>
      </c>
      <c r="J35" s="87">
        <f>SUM(H35:I35)</f>
        <v>97</v>
      </c>
      <c r="K35" s="86">
        <v>33</v>
      </c>
      <c r="L35" s="87">
        <v>62</v>
      </c>
      <c r="M35" s="87">
        <f>SUM(K35:L35)</f>
        <v>95</v>
      </c>
      <c r="N35" s="86">
        <f t="shared" si="9"/>
        <v>242</v>
      </c>
      <c r="O35" s="87">
        <f t="shared" si="9"/>
        <v>275</v>
      </c>
      <c r="P35" s="87">
        <f>SUM(N35:O35)</f>
        <v>517</v>
      </c>
      <c r="Q35" s="86">
        <f t="shared" si="10"/>
        <v>99</v>
      </c>
      <c r="R35" s="87">
        <f t="shared" si="10"/>
        <v>153</v>
      </c>
      <c r="S35" s="87">
        <f>SUM(Q35:R35)</f>
        <v>252</v>
      </c>
    </row>
    <row r="36" spans="1:19" ht="12.75">
      <c r="A36" s="89" t="s">
        <v>4</v>
      </c>
      <c r="B36" s="90">
        <f aca="true" t="shared" si="11" ref="B36:S36">SUM(B32:B35)</f>
        <v>1508</v>
      </c>
      <c r="C36" s="91">
        <f t="shared" si="11"/>
        <v>1975</v>
      </c>
      <c r="D36" s="91">
        <f t="shared" si="11"/>
        <v>3483</v>
      </c>
      <c r="E36" s="90">
        <f t="shared" si="11"/>
        <v>490</v>
      </c>
      <c r="F36" s="91">
        <f t="shared" si="11"/>
        <v>837</v>
      </c>
      <c r="G36" s="91">
        <f t="shared" si="11"/>
        <v>1327</v>
      </c>
      <c r="H36" s="90">
        <f t="shared" si="11"/>
        <v>270</v>
      </c>
      <c r="I36" s="91">
        <f t="shared" si="11"/>
        <v>706</v>
      </c>
      <c r="J36" s="91">
        <f t="shared" si="11"/>
        <v>976</v>
      </c>
      <c r="K36" s="90">
        <f t="shared" si="11"/>
        <v>218</v>
      </c>
      <c r="L36" s="91">
        <f t="shared" si="11"/>
        <v>506</v>
      </c>
      <c r="M36" s="91">
        <f t="shared" si="11"/>
        <v>724</v>
      </c>
      <c r="N36" s="90">
        <f t="shared" si="11"/>
        <v>1778</v>
      </c>
      <c r="O36" s="91">
        <f t="shared" si="11"/>
        <v>2681</v>
      </c>
      <c r="P36" s="91">
        <f t="shared" si="11"/>
        <v>4459</v>
      </c>
      <c r="Q36" s="90">
        <f t="shared" si="11"/>
        <v>708</v>
      </c>
      <c r="R36" s="91">
        <f t="shared" si="11"/>
        <v>1343</v>
      </c>
      <c r="S36" s="91">
        <f t="shared" si="11"/>
        <v>2051</v>
      </c>
    </row>
    <row r="37" spans="1:19" ht="12.75">
      <c r="A37" s="89"/>
      <c r="B37" s="93"/>
      <c r="C37" s="94"/>
      <c r="D37" s="94"/>
      <c r="E37" s="93"/>
      <c r="F37" s="94"/>
      <c r="G37" s="94"/>
      <c r="H37" s="93"/>
      <c r="I37" s="94"/>
      <c r="J37" s="94"/>
      <c r="K37" s="93"/>
      <c r="L37" s="94"/>
      <c r="M37" s="94"/>
      <c r="N37" s="93"/>
      <c r="O37" s="94"/>
      <c r="P37" s="94"/>
      <c r="Q37" s="93"/>
      <c r="R37" s="94"/>
      <c r="S37" s="94"/>
    </row>
    <row r="38" spans="1:19" ht="12.75">
      <c r="A38" s="74" t="s">
        <v>113</v>
      </c>
      <c r="B38" s="86"/>
      <c r="C38" s="87"/>
      <c r="D38" s="87"/>
      <c r="E38" s="86"/>
      <c r="F38" s="87"/>
      <c r="G38" s="87"/>
      <c r="H38" s="86"/>
      <c r="I38" s="87"/>
      <c r="J38" s="87"/>
      <c r="K38" s="86"/>
      <c r="L38" s="87"/>
      <c r="M38" s="87"/>
      <c r="N38" s="86"/>
      <c r="O38" s="87"/>
      <c r="P38" s="87"/>
      <c r="Q38" s="86"/>
      <c r="R38" s="87"/>
      <c r="S38" s="87"/>
    </row>
    <row r="39" spans="1:19" ht="12.75">
      <c r="A39" s="75" t="s">
        <v>45</v>
      </c>
      <c r="B39" s="86">
        <f>7</f>
        <v>7</v>
      </c>
      <c r="C39" s="87">
        <f>29</f>
        <v>29</v>
      </c>
      <c r="D39" s="87">
        <f>SUM(B39:C39)</f>
        <v>36</v>
      </c>
      <c r="E39" s="86">
        <f>7</f>
        <v>7</v>
      </c>
      <c r="F39" s="87">
        <f>23</f>
        <v>23</v>
      </c>
      <c r="G39" s="87">
        <f>SUM(E39:F39)</f>
        <v>30</v>
      </c>
      <c r="H39" s="86">
        <f>3</f>
        <v>3</v>
      </c>
      <c r="I39" s="87">
        <f>9+1</f>
        <v>10</v>
      </c>
      <c r="J39" s="87">
        <f>SUM(H39:I39)</f>
        <v>13</v>
      </c>
      <c r="K39" s="86">
        <f>1</f>
        <v>1</v>
      </c>
      <c r="L39" s="87">
        <f>9</f>
        <v>9</v>
      </c>
      <c r="M39" s="87">
        <f>SUM(K39:L39)</f>
        <v>10</v>
      </c>
      <c r="N39" s="86">
        <f aca="true" t="shared" si="12" ref="N39:O42">SUM(B39,H39)</f>
        <v>10</v>
      </c>
      <c r="O39" s="87">
        <f t="shared" si="12"/>
        <v>39</v>
      </c>
      <c r="P39" s="87">
        <f>SUM(N39:O39)</f>
        <v>49</v>
      </c>
      <c r="Q39" s="86">
        <f aca="true" t="shared" si="13" ref="Q39:R42">SUM(E39,K39)</f>
        <v>8</v>
      </c>
      <c r="R39" s="87">
        <f t="shared" si="13"/>
        <v>32</v>
      </c>
      <c r="S39" s="87">
        <f>SUM(Q39:R39)</f>
        <v>40</v>
      </c>
    </row>
    <row r="40" spans="1:19" ht="12.75">
      <c r="A40" s="75" t="s">
        <v>8</v>
      </c>
      <c r="B40" s="86">
        <v>55</v>
      </c>
      <c r="C40" s="87">
        <v>332</v>
      </c>
      <c r="D40" s="87">
        <f>SUM(B40:C40)</f>
        <v>387</v>
      </c>
      <c r="E40" s="86">
        <f>26</f>
        <v>26</v>
      </c>
      <c r="F40" s="87">
        <f>134</f>
        <v>134</v>
      </c>
      <c r="G40" s="87">
        <f>SUM(E40:F40)</f>
        <v>160</v>
      </c>
      <c r="H40" s="86">
        <f>10</f>
        <v>10</v>
      </c>
      <c r="I40" s="87">
        <v>152</v>
      </c>
      <c r="J40" s="87">
        <f>SUM(H40:I40)</f>
        <v>162</v>
      </c>
      <c r="K40" s="86">
        <f>9</f>
        <v>9</v>
      </c>
      <c r="L40" s="87">
        <f>75</f>
        <v>75</v>
      </c>
      <c r="M40" s="87">
        <f>SUM(K40:L40)</f>
        <v>84</v>
      </c>
      <c r="N40" s="86">
        <f t="shared" si="12"/>
        <v>65</v>
      </c>
      <c r="O40" s="87">
        <f t="shared" si="12"/>
        <v>484</v>
      </c>
      <c r="P40" s="87">
        <f>SUM(N40:O40)</f>
        <v>549</v>
      </c>
      <c r="Q40" s="86">
        <f t="shared" si="13"/>
        <v>35</v>
      </c>
      <c r="R40" s="87">
        <f t="shared" si="13"/>
        <v>209</v>
      </c>
      <c r="S40" s="87">
        <f>SUM(Q40:R40)</f>
        <v>244</v>
      </c>
    </row>
    <row r="41" spans="1:19" ht="12.75">
      <c r="A41" s="75" t="s">
        <v>9</v>
      </c>
      <c r="B41" s="86">
        <f>8</f>
        <v>8</v>
      </c>
      <c r="C41" s="87">
        <f>42</f>
        <v>42</v>
      </c>
      <c r="D41" s="87">
        <f>SUM(B41:C41)</f>
        <v>50</v>
      </c>
      <c r="E41" s="86">
        <f>2</f>
        <v>2</v>
      </c>
      <c r="F41" s="87">
        <f>14</f>
        <v>14</v>
      </c>
      <c r="G41" s="87">
        <f>SUM(E41:F41)</f>
        <v>16</v>
      </c>
      <c r="H41" s="86">
        <f>1</f>
        <v>1</v>
      </c>
      <c r="I41" s="87">
        <f>7</f>
        <v>7</v>
      </c>
      <c r="J41" s="87">
        <f>SUM(H41:I41)</f>
        <v>8</v>
      </c>
      <c r="K41" s="88">
        <f>0</f>
        <v>0</v>
      </c>
      <c r="L41" s="87">
        <f>3</f>
        <v>3</v>
      </c>
      <c r="M41" s="87">
        <f>SUM(K41:L41)</f>
        <v>3</v>
      </c>
      <c r="N41" s="86">
        <f t="shared" si="12"/>
        <v>9</v>
      </c>
      <c r="O41" s="87">
        <f t="shared" si="12"/>
        <v>49</v>
      </c>
      <c r="P41" s="87">
        <f>SUM(N41:O41)</f>
        <v>58</v>
      </c>
      <c r="Q41" s="86">
        <f t="shared" si="13"/>
        <v>2</v>
      </c>
      <c r="R41" s="87">
        <f t="shared" si="13"/>
        <v>17</v>
      </c>
      <c r="S41" s="87">
        <f>SUM(Q41:R41)</f>
        <v>19</v>
      </c>
    </row>
    <row r="42" spans="1:19" ht="12.75">
      <c r="A42" s="75" t="s">
        <v>10</v>
      </c>
      <c r="B42" s="86">
        <f>3</f>
        <v>3</v>
      </c>
      <c r="C42" s="87">
        <f>11</f>
        <v>11</v>
      </c>
      <c r="D42" s="87">
        <f>SUM(B42:C42)</f>
        <v>14</v>
      </c>
      <c r="E42" s="86">
        <f>0</f>
        <v>0</v>
      </c>
      <c r="F42" s="87">
        <f>4</f>
        <v>4</v>
      </c>
      <c r="G42" s="87">
        <f>SUM(E42:F42)</f>
        <v>4</v>
      </c>
      <c r="H42" s="86">
        <f>1</f>
        <v>1</v>
      </c>
      <c r="I42" s="87">
        <f>2</f>
        <v>2</v>
      </c>
      <c r="J42" s="87">
        <f>SUM(H42:I42)</f>
        <v>3</v>
      </c>
      <c r="K42" s="86">
        <f>1</f>
        <v>1</v>
      </c>
      <c r="L42" s="87">
        <f>2</f>
        <v>2</v>
      </c>
      <c r="M42" s="87">
        <f>SUM(K42:L42)</f>
        <v>3</v>
      </c>
      <c r="N42" s="86">
        <f t="shared" si="12"/>
        <v>4</v>
      </c>
      <c r="O42" s="87">
        <f t="shared" si="12"/>
        <v>13</v>
      </c>
      <c r="P42" s="87">
        <f>SUM(N42:O42)</f>
        <v>17</v>
      </c>
      <c r="Q42" s="86">
        <f t="shared" si="13"/>
        <v>1</v>
      </c>
      <c r="R42" s="87">
        <f t="shared" si="13"/>
        <v>6</v>
      </c>
      <c r="S42" s="87">
        <f>SUM(Q42:R42)</f>
        <v>7</v>
      </c>
    </row>
    <row r="43" spans="1:19" ht="12.75">
      <c r="A43" s="89" t="s">
        <v>4</v>
      </c>
      <c r="B43" s="90">
        <f aca="true" t="shared" si="14" ref="B43:S43">SUM(B39:B42)</f>
        <v>73</v>
      </c>
      <c r="C43" s="91">
        <f t="shared" si="14"/>
        <v>414</v>
      </c>
      <c r="D43" s="91">
        <f t="shared" si="14"/>
        <v>487</v>
      </c>
      <c r="E43" s="90">
        <f t="shared" si="14"/>
        <v>35</v>
      </c>
      <c r="F43" s="91">
        <f t="shared" si="14"/>
        <v>175</v>
      </c>
      <c r="G43" s="91">
        <f t="shared" si="14"/>
        <v>210</v>
      </c>
      <c r="H43" s="90">
        <f t="shared" si="14"/>
        <v>15</v>
      </c>
      <c r="I43" s="91">
        <f t="shared" si="14"/>
        <v>171</v>
      </c>
      <c r="J43" s="91">
        <f t="shared" si="14"/>
        <v>186</v>
      </c>
      <c r="K43" s="90">
        <f t="shared" si="14"/>
        <v>11</v>
      </c>
      <c r="L43" s="91">
        <f t="shared" si="14"/>
        <v>89</v>
      </c>
      <c r="M43" s="91">
        <f t="shared" si="14"/>
        <v>100</v>
      </c>
      <c r="N43" s="90">
        <f t="shared" si="14"/>
        <v>88</v>
      </c>
      <c r="O43" s="91">
        <f t="shared" si="14"/>
        <v>585</v>
      </c>
      <c r="P43" s="91">
        <f t="shared" si="14"/>
        <v>673</v>
      </c>
      <c r="Q43" s="90">
        <f t="shared" si="14"/>
        <v>46</v>
      </c>
      <c r="R43" s="91">
        <f t="shared" si="14"/>
        <v>264</v>
      </c>
      <c r="S43" s="91">
        <f t="shared" si="14"/>
        <v>310</v>
      </c>
    </row>
    <row r="44" spans="1:19" ht="12.75">
      <c r="A44" s="75"/>
      <c r="B44" s="86"/>
      <c r="C44" s="87"/>
      <c r="D44" s="166"/>
      <c r="E44" s="86"/>
      <c r="F44" s="87"/>
      <c r="G44" s="87"/>
      <c r="H44" s="86"/>
      <c r="I44" s="87"/>
      <c r="J44" s="87"/>
      <c r="K44" s="86"/>
      <c r="L44" s="87"/>
      <c r="M44" s="87"/>
      <c r="N44" s="86"/>
      <c r="O44" s="87"/>
      <c r="P44" s="87"/>
      <c r="Q44" s="86"/>
      <c r="R44" s="87"/>
      <c r="S44" s="87"/>
    </row>
    <row r="45" spans="1:19" ht="12.75">
      <c r="A45" s="74" t="s">
        <v>14</v>
      </c>
      <c r="B45" s="86"/>
      <c r="C45" s="87"/>
      <c r="D45" s="166"/>
      <c r="E45" s="86"/>
      <c r="F45" s="87"/>
      <c r="G45" s="87"/>
      <c r="H45" s="86"/>
      <c r="I45" s="87"/>
      <c r="J45" s="87"/>
      <c r="K45" s="86"/>
      <c r="L45" s="87"/>
      <c r="M45" s="87"/>
      <c r="N45" s="86"/>
      <c r="O45" s="87"/>
      <c r="P45" s="87"/>
      <c r="Q45" s="86"/>
      <c r="R45" s="87"/>
      <c r="S45" s="87"/>
    </row>
    <row r="46" spans="1:19" ht="12.75">
      <c r="A46" s="89" t="s">
        <v>4</v>
      </c>
      <c r="B46" s="93">
        <v>2051</v>
      </c>
      <c r="C46" s="94">
        <v>1561</v>
      </c>
      <c r="D46" s="94">
        <f>SUM(B46,C46)</f>
        <v>3612</v>
      </c>
      <c r="E46" s="93">
        <v>996</v>
      </c>
      <c r="F46" s="94">
        <v>1056</v>
      </c>
      <c r="G46" s="94">
        <f>SUM(E46:F46)</f>
        <v>2052</v>
      </c>
      <c r="H46" s="93">
        <v>671</v>
      </c>
      <c r="I46" s="94">
        <v>1194</v>
      </c>
      <c r="J46" s="94">
        <f>SUM(H46:I46)</f>
        <v>1865</v>
      </c>
      <c r="K46" s="93">
        <v>1429</v>
      </c>
      <c r="L46" s="94">
        <v>1326</v>
      </c>
      <c r="M46" s="94">
        <f>SUM(K46:L46)</f>
        <v>2755</v>
      </c>
      <c r="N46" s="93">
        <f>SUM(B46,H46)</f>
        <v>2722</v>
      </c>
      <c r="O46" s="94">
        <f>SUM(C46,I46)</f>
        <v>2755</v>
      </c>
      <c r="P46" s="94">
        <f>SUM(N46:O46)</f>
        <v>5477</v>
      </c>
      <c r="Q46" s="93">
        <f>SUM(E46,K46)</f>
        <v>2425</v>
      </c>
      <c r="R46" s="94">
        <f>SUM(F46,L46)</f>
        <v>2382</v>
      </c>
      <c r="S46" s="94">
        <f>SUM(Q46:R46)</f>
        <v>4807</v>
      </c>
    </row>
    <row r="47" spans="1:19" ht="12.75">
      <c r="A47" s="75"/>
      <c r="B47" s="86"/>
      <c r="C47" s="87"/>
      <c r="D47" s="87"/>
      <c r="E47" s="86"/>
      <c r="F47" s="87"/>
      <c r="G47" s="87"/>
      <c r="H47" s="86"/>
      <c r="I47" s="87"/>
      <c r="J47" s="87"/>
      <c r="K47" s="86"/>
      <c r="L47" s="87"/>
      <c r="M47" s="87"/>
      <c r="N47" s="86"/>
      <c r="O47" s="87"/>
      <c r="P47" s="87"/>
      <c r="Q47" s="86"/>
      <c r="R47" s="87"/>
      <c r="S47" s="87"/>
    </row>
    <row r="48" spans="1:19" ht="12.75">
      <c r="A48" s="74" t="s">
        <v>68</v>
      </c>
      <c r="B48" s="86"/>
      <c r="C48" s="87"/>
      <c r="D48" s="166"/>
      <c r="E48" s="86"/>
      <c r="F48" s="87"/>
      <c r="G48" s="87"/>
      <c r="H48" s="86"/>
      <c r="I48" s="87"/>
      <c r="J48" s="87"/>
      <c r="K48" s="86"/>
      <c r="L48" s="87"/>
      <c r="M48" s="87"/>
      <c r="N48" s="86"/>
      <c r="O48" s="87"/>
      <c r="P48" s="87"/>
      <c r="Q48" s="86"/>
      <c r="R48" s="87"/>
      <c r="S48" s="87"/>
    </row>
    <row r="49" spans="1:19" ht="12.75">
      <c r="A49" s="89" t="s">
        <v>4</v>
      </c>
      <c r="B49" s="93">
        <v>0</v>
      </c>
      <c r="C49" s="94">
        <v>0</v>
      </c>
      <c r="D49" s="94">
        <f>SUM(B49,C49)</f>
        <v>0</v>
      </c>
      <c r="E49" s="93">
        <v>70</v>
      </c>
      <c r="F49" s="94">
        <v>189</v>
      </c>
      <c r="G49" s="94">
        <f>SUM(E49:F49)</f>
        <v>259</v>
      </c>
      <c r="H49" s="93">
        <v>0</v>
      </c>
      <c r="I49" s="94">
        <v>0</v>
      </c>
      <c r="J49" s="94">
        <f>SUM(H49:I49)</f>
        <v>0</v>
      </c>
      <c r="K49" s="93">
        <v>55</v>
      </c>
      <c r="L49" s="94">
        <v>458</v>
      </c>
      <c r="M49" s="94">
        <f>SUM(K49:L49)</f>
        <v>513</v>
      </c>
      <c r="N49" s="93">
        <f>SUM(B49,H49)</f>
        <v>0</v>
      </c>
      <c r="O49" s="94">
        <f>SUM(C49,I49)</f>
        <v>0</v>
      </c>
      <c r="P49" s="94">
        <f>SUM(N49:O49)</f>
        <v>0</v>
      </c>
      <c r="Q49" s="93">
        <f>SUM(E49,K49)</f>
        <v>125</v>
      </c>
      <c r="R49" s="94">
        <f>SUM(F49,L49)</f>
        <v>647</v>
      </c>
      <c r="S49" s="94">
        <f>SUM(Q49:R49)</f>
        <v>772</v>
      </c>
    </row>
    <row r="50" spans="1:19" ht="12.75">
      <c r="A50" s="75"/>
      <c r="B50" s="86"/>
      <c r="C50" s="87"/>
      <c r="D50" s="87"/>
      <c r="E50" s="86"/>
      <c r="F50" s="87"/>
      <c r="G50" s="87"/>
      <c r="H50" s="86"/>
      <c r="I50" s="87"/>
      <c r="J50" s="87"/>
      <c r="K50" s="86"/>
      <c r="L50" s="87"/>
      <c r="M50" s="87"/>
      <c r="N50" s="86"/>
      <c r="O50" s="87"/>
      <c r="P50" s="87"/>
      <c r="Q50" s="86"/>
      <c r="R50" s="87"/>
      <c r="S50" s="87"/>
    </row>
    <row r="51" spans="1:19" ht="12.75">
      <c r="A51" s="1" t="s">
        <v>61</v>
      </c>
      <c r="B51" s="86"/>
      <c r="C51" s="87"/>
      <c r="D51" s="87"/>
      <c r="E51" s="86"/>
      <c r="F51" s="87"/>
      <c r="G51" s="87"/>
      <c r="H51" s="86"/>
      <c r="I51" s="87"/>
      <c r="J51" s="87"/>
      <c r="K51" s="86"/>
      <c r="L51" s="87"/>
      <c r="M51" s="87"/>
      <c r="N51" s="86"/>
      <c r="O51" s="87"/>
      <c r="P51" s="87"/>
      <c r="Q51" s="86"/>
      <c r="R51" s="87"/>
      <c r="S51" s="87"/>
    </row>
    <row r="52" spans="1:19" ht="12.75">
      <c r="A52" s="75" t="s">
        <v>45</v>
      </c>
      <c r="B52" s="86">
        <v>231</v>
      </c>
      <c r="C52" s="92">
        <v>307</v>
      </c>
      <c r="D52" s="87">
        <f>SUM(B52:C52)</f>
        <v>538</v>
      </c>
      <c r="E52" s="86">
        <v>78</v>
      </c>
      <c r="F52" s="87">
        <v>116</v>
      </c>
      <c r="G52" s="87">
        <f>SUM(E52:F52)</f>
        <v>194</v>
      </c>
      <c r="H52" s="86">
        <v>119</v>
      </c>
      <c r="I52" s="87">
        <v>334</v>
      </c>
      <c r="J52" s="87">
        <f>SUM(H52:I52)</f>
        <v>453</v>
      </c>
      <c r="K52" s="86">
        <v>264</v>
      </c>
      <c r="L52" s="87">
        <v>376</v>
      </c>
      <c r="M52" s="87">
        <f>SUM(K52:L52)</f>
        <v>640</v>
      </c>
      <c r="N52" s="86">
        <f aca="true" t="shared" si="15" ref="N52:O55">SUM(B52,H52)</f>
        <v>350</v>
      </c>
      <c r="O52" s="87">
        <f t="shared" si="15"/>
        <v>641</v>
      </c>
      <c r="P52" s="87">
        <f>SUM(N52:O52)</f>
        <v>991</v>
      </c>
      <c r="Q52" s="86">
        <f aca="true" t="shared" si="16" ref="Q52:R55">SUM(E52,K52)</f>
        <v>342</v>
      </c>
      <c r="R52" s="87">
        <f t="shared" si="16"/>
        <v>492</v>
      </c>
      <c r="S52" s="87">
        <f>SUM(Q52:R52)</f>
        <v>834</v>
      </c>
    </row>
    <row r="53" spans="1:19" ht="12.75">
      <c r="A53" s="75" t="s">
        <v>8</v>
      </c>
      <c r="B53" s="86">
        <v>216</v>
      </c>
      <c r="C53" s="87">
        <v>351</v>
      </c>
      <c r="D53" s="87">
        <f>SUM(B53:C53)</f>
        <v>567</v>
      </c>
      <c r="E53" s="86">
        <v>51</v>
      </c>
      <c r="F53" s="87">
        <v>100</v>
      </c>
      <c r="G53" s="87">
        <f>SUM(E53:F53)</f>
        <v>151</v>
      </c>
      <c r="H53" s="86">
        <v>159</v>
      </c>
      <c r="I53" s="87">
        <v>604</v>
      </c>
      <c r="J53" s="87">
        <f>SUM(H53:I53)</f>
        <v>763</v>
      </c>
      <c r="K53" s="86">
        <v>367</v>
      </c>
      <c r="L53" s="87">
        <v>516</v>
      </c>
      <c r="M53" s="87">
        <f>SUM(K53:L53)</f>
        <v>883</v>
      </c>
      <c r="N53" s="86">
        <f t="shared" si="15"/>
        <v>375</v>
      </c>
      <c r="O53" s="87">
        <f t="shared" si="15"/>
        <v>955</v>
      </c>
      <c r="P53" s="87">
        <f>SUM(N53:O53)</f>
        <v>1330</v>
      </c>
      <c r="Q53" s="86">
        <f t="shared" si="16"/>
        <v>418</v>
      </c>
      <c r="R53" s="87">
        <f t="shared" si="16"/>
        <v>616</v>
      </c>
      <c r="S53" s="87">
        <f>SUM(Q53:R53)</f>
        <v>1034</v>
      </c>
    </row>
    <row r="54" spans="1:19" ht="12.75">
      <c r="A54" s="75" t="s">
        <v>9</v>
      </c>
      <c r="B54" s="86">
        <v>111</v>
      </c>
      <c r="C54" s="87">
        <v>117</v>
      </c>
      <c r="D54" s="87">
        <f>SUM(B54:C54)</f>
        <v>228</v>
      </c>
      <c r="E54" s="88">
        <v>23</v>
      </c>
      <c r="F54" s="87">
        <v>19</v>
      </c>
      <c r="G54" s="87">
        <f>SUM(E54:F54)</f>
        <v>42</v>
      </c>
      <c r="H54" s="86">
        <v>50</v>
      </c>
      <c r="I54" s="87">
        <v>144</v>
      </c>
      <c r="J54" s="87">
        <f>SUM(H54:I54)</f>
        <v>194</v>
      </c>
      <c r="K54" s="86">
        <v>94</v>
      </c>
      <c r="L54" s="87">
        <v>98</v>
      </c>
      <c r="M54" s="87">
        <f>SUM(K54:L54)</f>
        <v>192</v>
      </c>
      <c r="N54" s="86">
        <f t="shared" si="15"/>
        <v>161</v>
      </c>
      <c r="O54" s="87">
        <f t="shared" si="15"/>
        <v>261</v>
      </c>
      <c r="P54" s="87">
        <f>SUM(N54:O54)</f>
        <v>422</v>
      </c>
      <c r="Q54" s="86">
        <f t="shared" si="16"/>
        <v>117</v>
      </c>
      <c r="R54" s="87">
        <f t="shared" si="16"/>
        <v>117</v>
      </c>
      <c r="S54" s="87">
        <f>SUM(Q54:R54)</f>
        <v>234</v>
      </c>
    </row>
    <row r="55" spans="1:19" ht="12.75">
      <c r="A55" s="75" t="s">
        <v>10</v>
      </c>
      <c r="B55" s="86">
        <v>109</v>
      </c>
      <c r="C55" s="87">
        <v>176</v>
      </c>
      <c r="D55" s="87">
        <f>SUM(B55:C55)</f>
        <v>285</v>
      </c>
      <c r="E55" s="86">
        <v>21</v>
      </c>
      <c r="F55" s="87">
        <v>25</v>
      </c>
      <c r="G55" s="87">
        <f>SUM(E55:F55)</f>
        <v>46</v>
      </c>
      <c r="H55" s="86">
        <v>39</v>
      </c>
      <c r="I55" s="87">
        <v>151</v>
      </c>
      <c r="J55" s="87">
        <f>SUM(H55:I55)</f>
        <v>190</v>
      </c>
      <c r="K55" s="86">
        <v>62</v>
      </c>
      <c r="L55" s="87">
        <v>136</v>
      </c>
      <c r="M55" s="87">
        <f>SUM(K55:L55)</f>
        <v>198</v>
      </c>
      <c r="N55" s="86">
        <f t="shared" si="15"/>
        <v>148</v>
      </c>
      <c r="O55" s="87">
        <f t="shared" si="15"/>
        <v>327</v>
      </c>
      <c r="P55" s="87">
        <f>SUM(N55:O55)</f>
        <v>475</v>
      </c>
      <c r="Q55" s="86">
        <f t="shared" si="16"/>
        <v>83</v>
      </c>
      <c r="R55" s="87">
        <f t="shared" si="16"/>
        <v>161</v>
      </c>
      <c r="S55" s="87">
        <f>SUM(Q55:R55)</f>
        <v>244</v>
      </c>
    </row>
    <row r="56" spans="1:19" ht="12.75">
      <c r="A56" s="89" t="s">
        <v>4</v>
      </c>
      <c r="B56" s="90">
        <f aca="true" t="shared" si="17" ref="B56:S56">SUM(B52:B55)</f>
        <v>667</v>
      </c>
      <c r="C56" s="91">
        <f t="shared" si="17"/>
        <v>951</v>
      </c>
      <c r="D56" s="91">
        <f t="shared" si="17"/>
        <v>1618</v>
      </c>
      <c r="E56" s="90">
        <f t="shared" si="17"/>
        <v>173</v>
      </c>
      <c r="F56" s="91">
        <f t="shared" si="17"/>
        <v>260</v>
      </c>
      <c r="G56" s="91">
        <f t="shared" si="17"/>
        <v>433</v>
      </c>
      <c r="H56" s="90">
        <f t="shared" si="17"/>
        <v>367</v>
      </c>
      <c r="I56" s="91">
        <f t="shared" si="17"/>
        <v>1233</v>
      </c>
      <c r="J56" s="91">
        <f t="shared" si="17"/>
        <v>1600</v>
      </c>
      <c r="K56" s="90">
        <f t="shared" si="17"/>
        <v>787</v>
      </c>
      <c r="L56" s="91">
        <f t="shared" si="17"/>
        <v>1126</v>
      </c>
      <c r="M56" s="91">
        <f t="shared" si="17"/>
        <v>1913</v>
      </c>
      <c r="N56" s="90">
        <f t="shared" si="17"/>
        <v>1034</v>
      </c>
      <c r="O56" s="91">
        <f t="shared" si="17"/>
        <v>2184</v>
      </c>
      <c r="P56" s="91">
        <f t="shared" si="17"/>
        <v>3218</v>
      </c>
      <c r="Q56" s="90">
        <f t="shared" si="17"/>
        <v>960</v>
      </c>
      <c r="R56" s="91">
        <f t="shared" si="17"/>
        <v>1386</v>
      </c>
      <c r="S56" s="91">
        <f t="shared" si="17"/>
        <v>2346</v>
      </c>
    </row>
    <row r="57" spans="1:19" ht="12.75">
      <c r="A57" s="75"/>
      <c r="B57" s="86"/>
      <c r="C57" s="87"/>
      <c r="D57" s="87"/>
      <c r="E57" s="86"/>
      <c r="F57" s="87"/>
      <c r="G57" s="87"/>
      <c r="H57" s="86"/>
      <c r="I57" s="87"/>
      <c r="J57" s="87"/>
      <c r="K57" s="86"/>
      <c r="L57" s="87"/>
      <c r="M57" s="87"/>
      <c r="N57" s="86"/>
      <c r="O57" s="87"/>
      <c r="P57" s="87"/>
      <c r="Q57" s="86"/>
      <c r="R57" s="87"/>
      <c r="S57" s="87"/>
    </row>
    <row r="58" spans="1:19" ht="12.75">
      <c r="A58" s="1" t="s">
        <v>62</v>
      </c>
      <c r="B58" s="86"/>
      <c r="C58" s="87"/>
      <c r="D58" s="87"/>
      <c r="E58" s="86"/>
      <c r="F58" s="87"/>
      <c r="G58" s="87"/>
      <c r="H58" s="86"/>
      <c r="I58" s="87"/>
      <c r="J58" s="87"/>
      <c r="K58" s="86"/>
      <c r="L58" s="87"/>
      <c r="M58" s="87"/>
      <c r="N58" s="86"/>
      <c r="O58" s="87"/>
      <c r="P58" s="87"/>
      <c r="Q58" s="86"/>
      <c r="R58" s="87"/>
      <c r="S58" s="87"/>
    </row>
    <row r="59" spans="1:19" ht="12.75">
      <c r="A59" s="75" t="s">
        <v>45</v>
      </c>
      <c r="B59" s="88">
        <v>48</v>
      </c>
      <c r="C59" s="92">
        <v>32</v>
      </c>
      <c r="D59" s="92">
        <f>SUM(B59:C59)</f>
        <v>80</v>
      </c>
      <c r="E59" s="86">
        <v>15</v>
      </c>
      <c r="F59" s="92">
        <v>22</v>
      </c>
      <c r="G59" s="87">
        <f>SUM(E59:F59)</f>
        <v>37</v>
      </c>
      <c r="H59" s="86">
        <v>18</v>
      </c>
      <c r="I59" s="87">
        <v>21</v>
      </c>
      <c r="J59" s="87">
        <f>SUM(H59:I59)</f>
        <v>39</v>
      </c>
      <c r="K59" s="86">
        <v>105</v>
      </c>
      <c r="L59" s="87">
        <v>48</v>
      </c>
      <c r="M59" s="87">
        <f>SUM(K59:L59)</f>
        <v>153</v>
      </c>
      <c r="N59" s="86">
        <f aca="true" t="shared" si="18" ref="N59:O62">SUM(B59,H59)</f>
        <v>66</v>
      </c>
      <c r="O59" s="87">
        <f t="shared" si="18"/>
        <v>53</v>
      </c>
      <c r="P59" s="87">
        <f>SUM(N59:O59)</f>
        <v>119</v>
      </c>
      <c r="Q59" s="86">
        <f aca="true" t="shared" si="19" ref="Q59:R62">SUM(E59,K59)</f>
        <v>120</v>
      </c>
      <c r="R59" s="87">
        <f t="shared" si="19"/>
        <v>70</v>
      </c>
      <c r="S59" s="87">
        <f>SUM(Q59:R59)</f>
        <v>190</v>
      </c>
    </row>
    <row r="60" spans="1:19" ht="12.75">
      <c r="A60" s="75" t="s">
        <v>8</v>
      </c>
      <c r="B60" s="86">
        <v>81</v>
      </c>
      <c r="C60" s="87">
        <v>61</v>
      </c>
      <c r="D60" s="87">
        <f>SUM(B60:C60)</f>
        <v>142</v>
      </c>
      <c r="E60" s="86">
        <v>12</v>
      </c>
      <c r="F60" s="87">
        <v>24</v>
      </c>
      <c r="G60" s="87">
        <f>SUM(E60:F60)</f>
        <v>36</v>
      </c>
      <c r="H60" s="86">
        <v>57</v>
      </c>
      <c r="I60" s="87">
        <v>85</v>
      </c>
      <c r="J60" s="87">
        <f>SUM(H60:I60)</f>
        <v>142</v>
      </c>
      <c r="K60" s="86">
        <v>262</v>
      </c>
      <c r="L60" s="87">
        <v>134</v>
      </c>
      <c r="M60" s="87">
        <f>SUM(K60:L60)</f>
        <v>396</v>
      </c>
      <c r="N60" s="86">
        <f t="shared" si="18"/>
        <v>138</v>
      </c>
      <c r="O60" s="87">
        <f t="shared" si="18"/>
        <v>146</v>
      </c>
      <c r="P60" s="87">
        <f>SUM(N60:O60)</f>
        <v>284</v>
      </c>
      <c r="Q60" s="86">
        <f t="shared" si="19"/>
        <v>274</v>
      </c>
      <c r="R60" s="87">
        <f t="shared" si="19"/>
        <v>158</v>
      </c>
      <c r="S60" s="87">
        <f>SUM(Q60:R60)</f>
        <v>432</v>
      </c>
    </row>
    <row r="61" spans="1:19" ht="12.75">
      <c r="A61" s="75" t="s">
        <v>9</v>
      </c>
      <c r="B61" s="86">
        <v>12</v>
      </c>
      <c r="C61" s="92">
        <v>14</v>
      </c>
      <c r="D61" s="87">
        <f>SUM(B61:C61)</f>
        <v>26</v>
      </c>
      <c r="E61" s="86">
        <v>6</v>
      </c>
      <c r="F61" s="92">
        <v>3</v>
      </c>
      <c r="G61" s="87">
        <f>SUM(E61:F61)</f>
        <v>9</v>
      </c>
      <c r="H61" s="86">
        <v>13</v>
      </c>
      <c r="I61" s="87">
        <v>12</v>
      </c>
      <c r="J61" s="87">
        <f>SUM(H61:I61)</f>
        <v>25</v>
      </c>
      <c r="K61" s="86">
        <v>47</v>
      </c>
      <c r="L61" s="87">
        <v>22</v>
      </c>
      <c r="M61" s="87">
        <f>SUM(K61:L61)</f>
        <v>69</v>
      </c>
      <c r="N61" s="86">
        <f t="shared" si="18"/>
        <v>25</v>
      </c>
      <c r="O61" s="87">
        <f t="shared" si="18"/>
        <v>26</v>
      </c>
      <c r="P61" s="87">
        <f>SUM(N61:O61)</f>
        <v>51</v>
      </c>
      <c r="Q61" s="86">
        <f t="shared" si="19"/>
        <v>53</v>
      </c>
      <c r="R61" s="87">
        <f t="shared" si="19"/>
        <v>25</v>
      </c>
      <c r="S61" s="87">
        <f>SUM(Q61:R61)</f>
        <v>78</v>
      </c>
    </row>
    <row r="62" spans="1:19" ht="12.75">
      <c r="A62" s="75" t="s">
        <v>10</v>
      </c>
      <c r="B62" s="86">
        <v>11</v>
      </c>
      <c r="C62" s="87">
        <v>16</v>
      </c>
      <c r="D62" s="87">
        <f>SUM(B62:C62)</f>
        <v>27</v>
      </c>
      <c r="E62" s="86">
        <v>3</v>
      </c>
      <c r="F62" s="92">
        <v>3</v>
      </c>
      <c r="G62" s="87">
        <f>SUM(E62:F62)</f>
        <v>6</v>
      </c>
      <c r="H62" s="86">
        <v>6</v>
      </c>
      <c r="I62" s="87">
        <v>13</v>
      </c>
      <c r="J62" s="87">
        <f>SUM(H62:I62)</f>
        <v>19</v>
      </c>
      <c r="K62" s="86">
        <v>31</v>
      </c>
      <c r="L62" s="87">
        <v>16</v>
      </c>
      <c r="M62" s="87">
        <f>SUM(K62:L62)</f>
        <v>47</v>
      </c>
      <c r="N62" s="86">
        <f t="shared" si="18"/>
        <v>17</v>
      </c>
      <c r="O62" s="87">
        <f t="shared" si="18"/>
        <v>29</v>
      </c>
      <c r="P62" s="87">
        <f>SUM(N62:O62)</f>
        <v>46</v>
      </c>
      <c r="Q62" s="86">
        <f t="shared" si="19"/>
        <v>34</v>
      </c>
      <c r="R62" s="87">
        <f t="shared" si="19"/>
        <v>19</v>
      </c>
      <c r="S62" s="87">
        <f>SUM(Q62:R62)</f>
        <v>53</v>
      </c>
    </row>
    <row r="63" spans="1:19" ht="12.75">
      <c r="A63" s="89" t="s">
        <v>4</v>
      </c>
      <c r="B63" s="90">
        <f aca="true" t="shared" si="20" ref="B63:S63">SUM(B59:B62)</f>
        <v>152</v>
      </c>
      <c r="C63" s="91">
        <f t="shared" si="20"/>
        <v>123</v>
      </c>
      <c r="D63" s="91">
        <f t="shared" si="20"/>
        <v>275</v>
      </c>
      <c r="E63" s="90">
        <f t="shared" si="20"/>
        <v>36</v>
      </c>
      <c r="F63" s="91">
        <f t="shared" si="20"/>
        <v>52</v>
      </c>
      <c r="G63" s="91">
        <f t="shared" si="20"/>
        <v>88</v>
      </c>
      <c r="H63" s="90">
        <f t="shared" si="20"/>
        <v>94</v>
      </c>
      <c r="I63" s="91">
        <f t="shared" si="20"/>
        <v>131</v>
      </c>
      <c r="J63" s="91">
        <f t="shared" si="20"/>
        <v>225</v>
      </c>
      <c r="K63" s="90">
        <f t="shared" si="20"/>
        <v>445</v>
      </c>
      <c r="L63" s="91">
        <f t="shared" si="20"/>
        <v>220</v>
      </c>
      <c r="M63" s="91">
        <f t="shared" si="20"/>
        <v>665</v>
      </c>
      <c r="N63" s="90">
        <f t="shared" si="20"/>
        <v>246</v>
      </c>
      <c r="O63" s="91">
        <f t="shared" si="20"/>
        <v>254</v>
      </c>
      <c r="P63" s="91">
        <f t="shared" si="20"/>
        <v>500</v>
      </c>
      <c r="Q63" s="90">
        <f t="shared" si="20"/>
        <v>481</v>
      </c>
      <c r="R63" s="91">
        <f t="shared" si="20"/>
        <v>272</v>
      </c>
      <c r="S63" s="91">
        <f t="shared" si="20"/>
        <v>753</v>
      </c>
    </row>
    <row r="64" spans="1:19" ht="12.75">
      <c r="A64" s="89"/>
      <c r="B64" s="93"/>
      <c r="C64" s="94"/>
      <c r="D64" s="94"/>
      <c r="E64" s="93"/>
      <c r="F64" s="94"/>
      <c r="G64" s="94"/>
      <c r="H64" s="93"/>
      <c r="I64" s="94"/>
      <c r="J64" s="94"/>
      <c r="K64" s="93"/>
      <c r="L64" s="94"/>
      <c r="M64" s="94"/>
      <c r="N64" s="93"/>
      <c r="O64" s="94"/>
      <c r="P64" s="94"/>
      <c r="Q64" s="93"/>
      <c r="R64" s="94"/>
      <c r="S64" s="94"/>
    </row>
    <row r="65" spans="1:19" ht="12.75">
      <c r="A65" s="74" t="s">
        <v>15</v>
      </c>
      <c r="B65" s="86"/>
      <c r="C65" s="87"/>
      <c r="D65" s="87"/>
      <c r="E65" s="86"/>
      <c r="F65" s="87"/>
      <c r="G65" s="87"/>
      <c r="H65" s="86"/>
      <c r="I65" s="87"/>
      <c r="J65" s="87"/>
      <c r="K65" s="86"/>
      <c r="L65" s="87"/>
      <c r="M65" s="87"/>
      <c r="N65" s="86"/>
      <c r="O65" s="87"/>
      <c r="P65" s="87"/>
      <c r="Q65" s="86"/>
      <c r="R65" s="87"/>
      <c r="S65" s="87"/>
    </row>
    <row r="66" spans="1:19" ht="12.75">
      <c r="A66" s="75" t="s">
        <v>45</v>
      </c>
      <c r="B66" s="86">
        <v>58</v>
      </c>
      <c r="C66" s="92">
        <v>55</v>
      </c>
      <c r="D66" s="87">
        <f>SUM(B66:C66)</f>
        <v>113</v>
      </c>
      <c r="E66" s="86">
        <v>9</v>
      </c>
      <c r="F66" s="87">
        <v>3</v>
      </c>
      <c r="G66" s="87">
        <f>SUM(E66:F66)</f>
        <v>12</v>
      </c>
      <c r="H66" s="86">
        <v>41</v>
      </c>
      <c r="I66" s="87">
        <v>77</v>
      </c>
      <c r="J66" s="87">
        <f>SUM(H66:I66)</f>
        <v>118</v>
      </c>
      <c r="K66" s="86">
        <v>67</v>
      </c>
      <c r="L66" s="87">
        <v>71</v>
      </c>
      <c r="M66" s="87">
        <f>SUM(K66:L66)</f>
        <v>138</v>
      </c>
      <c r="N66" s="86">
        <f aca="true" t="shared" si="21" ref="N66:O69">SUM(B66,H66)</f>
        <v>99</v>
      </c>
      <c r="O66" s="87">
        <f t="shared" si="21"/>
        <v>132</v>
      </c>
      <c r="P66" s="87">
        <f>SUM(N66:O66)</f>
        <v>231</v>
      </c>
      <c r="Q66" s="86">
        <f aca="true" t="shared" si="22" ref="Q66:R69">SUM(E66,K66)</f>
        <v>76</v>
      </c>
      <c r="R66" s="87">
        <f t="shared" si="22"/>
        <v>74</v>
      </c>
      <c r="S66" s="87">
        <f>SUM(Q66:R66)</f>
        <v>150</v>
      </c>
    </row>
    <row r="67" spans="1:19" ht="12.75">
      <c r="A67" s="75" t="s">
        <v>8</v>
      </c>
      <c r="B67" s="86">
        <v>9</v>
      </c>
      <c r="C67" s="87">
        <v>5</v>
      </c>
      <c r="D67" s="87">
        <f>SUM(B67:C67)</f>
        <v>14</v>
      </c>
      <c r="E67" s="86">
        <v>1</v>
      </c>
      <c r="F67" s="87">
        <v>1</v>
      </c>
      <c r="G67" s="87">
        <f>SUM(E67:F67)</f>
        <v>2</v>
      </c>
      <c r="H67" s="86">
        <v>15</v>
      </c>
      <c r="I67" s="87">
        <v>18</v>
      </c>
      <c r="J67" s="87">
        <f>SUM(H67:I67)</f>
        <v>33</v>
      </c>
      <c r="K67" s="86">
        <v>8</v>
      </c>
      <c r="L67" s="87">
        <v>9</v>
      </c>
      <c r="M67" s="87">
        <f>SUM(K67:L67)</f>
        <v>17</v>
      </c>
      <c r="N67" s="86">
        <f t="shared" si="21"/>
        <v>24</v>
      </c>
      <c r="O67" s="87">
        <f t="shared" si="21"/>
        <v>23</v>
      </c>
      <c r="P67" s="87">
        <f>SUM(N67:O67)</f>
        <v>47</v>
      </c>
      <c r="Q67" s="86">
        <f t="shared" si="22"/>
        <v>9</v>
      </c>
      <c r="R67" s="87">
        <f t="shared" si="22"/>
        <v>10</v>
      </c>
      <c r="S67" s="87">
        <f>SUM(Q67:R67)</f>
        <v>19</v>
      </c>
    </row>
    <row r="68" spans="1:19" ht="12.75">
      <c r="A68" s="75" t="s">
        <v>9</v>
      </c>
      <c r="B68" s="86">
        <v>0</v>
      </c>
      <c r="C68" s="87">
        <v>0</v>
      </c>
      <c r="D68" s="87">
        <f>SUM(B68:C68)</f>
        <v>0</v>
      </c>
      <c r="E68" s="88">
        <v>0</v>
      </c>
      <c r="F68" s="87">
        <v>0</v>
      </c>
      <c r="G68" s="87">
        <f>SUM(E68:F68)</f>
        <v>0</v>
      </c>
      <c r="H68" s="86">
        <v>0</v>
      </c>
      <c r="I68" s="87">
        <v>0</v>
      </c>
      <c r="J68" s="87">
        <f>SUM(H68:I68)</f>
        <v>0</v>
      </c>
      <c r="K68" s="86">
        <v>0</v>
      </c>
      <c r="L68" s="87">
        <v>0</v>
      </c>
      <c r="M68" s="87">
        <f>SUM(K68:L68)</f>
        <v>0</v>
      </c>
      <c r="N68" s="86">
        <f t="shared" si="21"/>
        <v>0</v>
      </c>
      <c r="O68" s="87">
        <f t="shared" si="21"/>
        <v>0</v>
      </c>
      <c r="P68" s="87">
        <f>SUM(N68:O68)</f>
        <v>0</v>
      </c>
      <c r="Q68" s="86">
        <f t="shared" si="22"/>
        <v>0</v>
      </c>
      <c r="R68" s="87">
        <f t="shared" si="22"/>
        <v>0</v>
      </c>
      <c r="S68" s="87">
        <f>SUM(Q68:R68)</f>
        <v>0</v>
      </c>
    </row>
    <row r="69" spans="1:19" ht="12.75">
      <c r="A69" s="75" t="s">
        <v>10</v>
      </c>
      <c r="B69" s="86">
        <v>857</v>
      </c>
      <c r="C69" s="87">
        <v>718</v>
      </c>
      <c r="D69" s="87">
        <f>SUM(B69:C69)</f>
        <v>1575</v>
      </c>
      <c r="E69" s="86">
        <v>79</v>
      </c>
      <c r="F69" s="87">
        <v>65</v>
      </c>
      <c r="G69" s="87">
        <f>SUM(E69:F69)</f>
        <v>144</v>
      </c>
      <c r="H69" s="86">
        <v>566</v>
      </c>
      <c r="I69" s="87">
        <v>1156</v>
      </c>
      <c r="J69" s="87">
        <f>SUM(H69:I69)</f>
        <v>1722</v>
      </c>
      <c r="K69" s="86">
        <v>572</v>
      </c>
      <c r="L69" s="87">
        <v>821</v>
      </c>
      <c r="M69" s="87">
        <f>SUM(K69:L69)</f>
        <v>1393</v>
      </c>
      <c r="N69" s="86">
        <f t="shared" si="21"/>
        <v>1423</v>
      </c>
      <c r="O69" s="87">
        <f t="shared" si="21"/>
        <v>1874</v>
      </c>
      <c r="P69" s="87">
        <f>SUM(N69:O69)</f>
        <v>3297</v>
      </c>
      <c r="Q69" s="86">
        <f t="shared" si="22"/>
        <v>651</v>
      </c>
      <c r="R69" s="87">
        <f t="shared" si="22"/>
        <v>886</v>
      </c>
      <c r="S69" s="87">
        <f>SUM(Q69:R69)</f>
        <v>1537</v>
      </c>
    </row>
    <row r="70" spans="1:19" ht="12.75">
      <c r="A70" s="89" t="s">
        <v>4</v>
      </c>
      <c r="B70" s="90">
        <f aca="true" t="shared" si="23" ref="B70:S70">SUM(B66:B69)</f>
        <v>924</v>
      </c>
      <c r="C70" s="91">
        <f t="shared" si="23"/>
        <v>778</v>
      </c>
      <c r="D70" s="91">
        <f t="shared" si="23"/>
        <v>1702</v>
      </c>
      <c r="E70" s="90">
        <f t="shared" si="23"/>
        <v>89</v>
      </c>
      <c r="F70" s="91">
        <f t="shared" si="23"/>
        <v>69</v>
      </c>
      <c r="G70" s="91">
        <f t="shared" si="23"/>
        <v>158</v>
      </c>
      <c r="H70" s="90">
        <f t="shared" si="23"/>
        <v>622</v>
      </c>
      <c r="I70" s="91">
        <f t="shared" si="23"/>
        <v>1251</v>
      </c>
      <c r="J70" s="91">
        <f t="shared" si="23"/>
        <v>1873</v>
      </c>
      <c r="K70" s="90">
        <f t="shared" si="23"/>
        <v>647</v>
      </c>
      <c r="L70" s="91">
        <f t="shared" si="23"/>
        <v>901</v>
      </c>
      <c r="M70" s="91">
        <f t="shared" si="23"/>
        <v>1548</v>
      </c>
      <c r="N70" s="90">
        <f t="shared" si="23"/>
        <v>1546</v>
      </c>
      <c r="O70" s="91">
        <f t="shared" si="23"/>
        <v>2029</v>
      </c>
      <c r="P70" s="91">
        <f t="shared" si="23"/>
        <v>3575</v>
      </c>
      <c r="Q70" s="90">
        <f t="shared" si="23"/>
        <v>736</v>
      </c>
      <c r="R70" s="91">
        <f t="shared" si="23"/>
        <v>970</v>
      </c>
      <c r="S70" s="91">
        <f t="shared" si="23"/>
        <v>1706</v>
      </c>
    </row>
    <row r="71" spans="1:19" ht="12.75">
      <c r="A71" s="89"/>
      <c r="B71" s="93"/>
      <c r="C71" s="94"/>
      <c r="D71" s="94"/>
      <c r="E71" s="93"/>
      <c r="F71" s="94"/>
      <c r="G71" s="94"/>
      <c r="H71" s="93"/>
      <c r="I71" s="94"/>
      <c r="J71" s="94"/>
      <c r="K71" s="93"/>
      <c r="L71" s="94"/>
      <c r="M71" s="94"/>
      <c r="N71" s="93"/>
      <c r="O71" s="94"/>
      <c r="P71" s="94"/>
      <c r="Q71" s="93"/>
      <c r="R71" s="94"/>
      <c r="S71" s="94"/>
    </row>
    <row r="72" spans="1:19" s="95" customFormat="1" ht="13.5" customHeight="1">
      <c r="A72" s="207" t="s">
        <v>55</v>
      </c>
      <c r="B72" s="86"/>
      <c r="C72" s="208"/>
      <c r="D72" s="208"/>
      <c r="E72" s="86"/>
      <c r="F72" s="208"/>
      <c r="G72" s="208"/>
      <c r="H72" s="86"/>
      <c r="I72" s="208"/>
      <c r="J72" s="208"/>
      <c r="K72" s="86"/>
      <c r="L72" s="208"/>
      <c r="M72" s="208"/>
      <c r="N72" s="86"/>
      <c r="O72" s="208"/>
      <c r="P72" s="208"/>
      <c r="Q72" s="86"/>
      <c r="R72" s="208"/>
      <c r="S72" s="208"/>
    </row>
    <row r="73" spans="1:19" s="95" customFormat="1" ht="23.25" customHeight="1">
      <c r="A73" s="218" t="s">
        <v>78</v>
      </c>
      <c r="B73" s="93">
        <f>SUM(B70,B63,B56,B46,B43,B36,B29,B22,B15)</f>
        <v>25807</v>
      </c>
      <c r="C73" s="94">
        <f aca="true" t="shared" si="24" ref="C73:S73">SUM(C70,C63,C56,C46,C43,C36,C29,C22,C15)</f>
        <v>44645</v>
      </c>
      <c r="D73" s="94">
        <f t="shared" si="24"/>
        <v>70452</v>
      </c>
      <c r="E73" s="93">
        <f t="shared" si="24"/>
        <v>6915</v>
      </c>
      <c r="F73" s="94">
        <f t="shared" si="24"/>
        <v>15887</v>
      </c>
      <c r="G73" s="94">
        <f t="shared" si="24"/>
        <v>22802</v>
      </c>
      <c r="H73" s="93">
        <f t="shared" si="24"/>
        <v>7431</v>
      </c>
      <c r="I73" s="94">
        <f t="shared" si="24"/>
        <v>30365</v>
      </c>
      <c r="J73" s="94">
        <f t="shared" si="24"/>
        <v>37796</v>
      </c>
      <c r="K73" s="93">
        <f t="shared" si="24"/>
        <v>6880</v>
      </c>
      <c r="L73" s="94">
        <f t="shared" si="24"/>
        <v>15740</v>
      </c>
      <c r="M73" s="94">
        <f t="shared" si="24"/>
        <v>22620</v>
      </c>
      <c r="N73" s="93">
        <f t="shared" si="24"/>
        <v>33238</v>
      </c>
      <c r="O73" s="94">
        <f t="shared" si="24"/>
        <v>75010</v>
      </c>
      <c r="P73" s="94">
        <f t="shared" si="24"/>
        <v>108248</v>
      </c>
      <c r="Q73" s="93">
        <f t="shared" si="24"/>
        <v>13795</v>
      </c>
      <c r="R73" s="94">
        <f t="shared" si="24"/>
        <v>31627</v>
      </c>
      <c r="S73" s="94">
        <f t="shared" si="24"/>
        <v>45422</v>
      </c>
    </row>
    <row r="74" spans="1:19" ht="12.75">
      <c r="A74" s="217"/>
      <c r="B74" s="93"/>
      <c r="C74" s="94"/>
      <c r="D74" s="94"/>
      <c r="E74" s="93"/>
      <c r="F74" s="94"/>
      <c r="G74" s="94"/>
      <c r="H74" s="93"/>
      <c r="I74" s="94"/>
      <c r="J74" s="94"/>
      <c r="K74" s="93"/>
      <c r="L74" s="94"/>
      <c r="M74" s="94"/>
      <c r="N74" s="93"/>
      <c r="O74" s="94"/>
      <c r="P74" s="94"/>
      <c r="Q74" s="93"/>
      <c r="R74" s="94"/>
      <c r="S74" s="94"/>
    </row>
    <row r="75" spans="1:19" s="95" customFormat="1" ht="13.5" customHeight="1">
      <c r="A75" s="207" t="s">
        <v>55</v>
      </c>
      <c r="B75" s="86"/>
      <c r="C75" s="208"/>
      <c r="D75" s="208"/>
      <c r="E75" s="86"/>
      <c r="F75" s="208"/>
      <c r="G75" s="208"/>
      <c r="H75" s="86"/>
      <c r="I75" s="208"/>
      <c r="J75" s="208"/>
      <c r="K75" s="86"/>
      <c r="L75" s="208"/>
      <c r="M75" s="208"/>
      <c r="N75" s="86"/>
      <c r="O75" s="208"/>
      <c r="P75" s="208"/>
      <c r="Q75" s="86"/>
      <c r="R75" s="208"/>
      <c r="S75" s="208"/>
    </row>
    <row r="76" spans="1:19" s="95" customFormat="1" ht="25.5">
      <c r="A76" s="218" t="s">
        <v>79</v>
      </c>
      <c r="B76" s="93">
        <f>SUM(B70,B63,B56,B46,B43,B36,B29,B22,B15,B49)</f>
        <v>25807</v>
      </c>
      <c r="C76" s="94">
        <f aca="true" t="shared" si="25" ref="C76:S76">SUM(C70,C63,C56,C46,C43,C36,C29,C22,C15,C49)</f>
        <v>44645</v>
      </c>
      <c r="D76" s="166">
        <f t="shared" si="25"/>
        <v>70452</v>
      </c>
      <c r="E76" s="93">
        <f t="shared" si="25"/>
        <v>6985</v>
      </c>
      <c r="F76" s="94">
        <f t="shared" si="25"/>
        <v>16076</v>
      </c>
      <c r="G76" s="166">
        <f t="shared" si="25"/>
        <v>23061</v>
      </c>
      <c r="H76" s="93">
        <f t="shared" si="25"/>
        <v>7431</v>
      </c>
      <c r="I76" s="94">
        <f t="shared" si="25"/>
        <v>30365</v>
      </c>
      <c r="J76" s="166">
        <f t="shared" si="25"/>
        <v>37796</v>
      </c>
      <c r="K76" s="93">
        <f t="shared" si="25"/>
        <v>6935</v>
      </c>
      <c r="L76" s="94">
        <f t="shared" si="25"/>
        <v>16198</v>
      </c>
      <c r="M76" s="166">
        <f t="shared" si="25"/>
        <v>23133</v>
      </c>
      <c r="N76" s="93">
        <f t="shared" si="25"/>
        <v>33238</v>
      </c>
      <c r="O76" s="94">
        <f t="shared" si="25"/>
        <v>75010</v>
      </c>
      <c r="P76" s="166">
        <f t="shared" si="25"/>
        <v>108248</v>
      </c>
      <c r="Q76" s="93">
        <f t="shared" si="25"/>
        <v>13920</v>
      </c>
      <c r="R76" s="94">
        <f t="shared" si="25"/>
        <v>32274</v>
      </c>
      <c r="S76" s="94">
        <f t="shared" si="25"/>
        <v>46194</v>
      </c>
    </row>
    <row r="78" ht="12.75">
      <c r="A78" s="242" t="s">
        <v>114</v>
      </c>
    </row>
  </sheetData>
  <printOptions horizontalCentered="1"/>
  <pageMargins left="0.1968503937007874" right="0" top="0.3937007874015748" bottom="0.3937007874015748" header="0.5118110236220472" footer="0.5118110236220472"/>
  <pageSetup fitToHeight="2" orientation="landscape" paperSize="9" scale="59" r:id="rId1"/>
  <headerFooter alignWithMargins="0">
    <oddFooter>&amp;R&amp;A</oddFooter>
  </headerFooter>
</worksheet>
</file>

<file path=xl/worksheets/sheet9.xml><?xml version="1.0" encoding="utf-8"?>
<worksheet xmlns="http://schemas.openxmlformats.org/spreadsheetml/2006/main" xmlns:r="http://schemas.openxmlformats.org/officeDocument/2006/relationships">
  <sheetPr codeName="Blad8">
    <pageSetUpPr fitToPage="1"/>
  </sheetPr>
  <dimension ref="A1:S65"/>
  <sheetViews>
    <sheetView workbookViewId="0" topLeftCell="A1">
      <selection activeCell="D63" sqref="D63"/>
    </sheetView>
  </sheetViews>
  <sheetFormatPr defaultColWidth="9.140625" defaultRowHeight="12.75"/>
  <cols>
    <col min="1" max="1" width="28.7109375" style="99" customWidth="1"/>
    <col min="2" max="19" width="7.57421875" style="99" customWidth="1"/>
    <col min="20" max="16384" width="9.140625" style="99" customWidth="1"/>
  </cols>
  <sheetData>
    <row r="1" spans="1:19" ht="12.75">
      <c r="A1" s="96" t="s">
        <v>81</v>
      </c>
      <c r="B1" s="97"/>
      <c r="C1" s="97"/>
      <c r="D1" s="97"/>
      <c r="E1" s="98"/>
      <c r="F1" s="97"/>
      <c r="G1" s="97"/>
      <c r="H1" s="97"/>
      <c r="I1" s="97"/>
      <c r="J1" s="97"/>
      <c r="K1" s="97"/>
      <c r="L1" s="97"/>
      <c r="M1" s="97"/>
      <c r="N1" s="97"/>
      <c r="O1" s="97"/>
      <c r="P1" s="97"/>
      <c r="Q1" s="97"/>
      <c r="R1" s="97"/>
      <c r="S1" s="97"/>
    </row>
    <row r="2" spans="1:19" ht="12.75">
      <c r="A2" s="100" t="s">
        <v>38</v>
      </c>
      <c r="B2" s="101"/>
      <c r="C2" s="101"/>
      <c r="D2" s="100"/>
      <c r="E2" s="102"/>
      <c r="F2" s="101"/>
      <c r="G2" s="103"/>
      <c r="H2" s="101"/>
      <c r="I2" s="103"/>
      <c r="J2" s="101"/>
      <c r="K2" s="101"/>
      <c r="L2" s="101"/>
      <c r="M2" s="101"/>
      <c r="N2" s="101"/>
      <c r="O2" s="101"/>
      <c r="P2" s="101"/>
      <c r="Q2" s="101"/>
      <c r="R2" s="101"/>
      <c r="S2" s="101"/>
    </row>
    <row r="3" spans="1:19" ht="11.25" customHeight="1">
      <c r="A3" s="100"/>
      <c r="B3" s="101"/>
      <c r="C3" s="101"/>
      <c r="D3" s="101"/>
      <c r="E3" s="102"/>
      <c r="F3" s="100"/>
      <c r="G3" s="103"/>
      <c r="H3" s="101"/>
      <c r="I3" s="103"/>
      <c r="J3" s="101"/>
      <c r="K3" s="101"/>
      <c r="L3" s="101"/>
      <c r="M3" s="101"/>
      <c r="N3" s="101"/>
      <c r="O3" s="101"/>
      <c r="P3" s="101"/>
      <c r="Q3" s="101"/>
      <c r="R3" s="101"/>
      <c r="S3" s="101"/>
    </row>
    <row r="4" spans="1:19" ht="12.75">
      <c r="A4" s="100" t="s">
        <v>67</v>
      </c>
      <c r="B4" s="101"/>
      <c r="C4" s="101"/>
      <c r="D4" s="101"/>
      <c r="E4" s="102"/>
      <c r="F4" s="100"/>
      <c r="G4" s="103"/>
      <c r="H4" s="101"/>
      <c r="I4" s="103"/>
      <c r="J4" s="101"/>
      <c r="K4" s="101"/>
      <c r="L4" s="101"/>
      <c r="M4" s="101"/>
      <c r="N4" s="101"/>
      <c r="O4" s="101"/>
      <c r="P4" s="101"/>
      <c r="Q4" s="101"/>
      <c r="R4" s="101"/>
      <c r="S4" s="101"/>
    </row>
    <row r="5" spans="1:19" ht="13.5" thickBot="1">
      <c r="A5" s="97"/>
      <c r="B5" s="97"/>
      <c r="C5" s="97"/>
      <c r="D5" s="97"/>
      <c r="E5" s="98"/>
      <c r="F5" s="97"/>
      <c r="G5" s="97"/>
      <c r="H5" s="97"/>
      <c r="I5" s="97"/>
      <c r="J5" s="97"/>
      <c r="K5" s="97"/>
      <c r="L5" s="97"/>
      <c r="M5" s="97"/>
      <c r="N5" s="97"/>
      <c r="O5" s="97"/>
      <c r="P5" s="97"/>
      <c r="Q5" s="97"/>
      <c r="R5" s="97"/>
      <c r="S5" s="97"/>
    </row>
    <row r="6" spans="1:19" ht="12.75">
      <c r="A6" s="104"/>
      <c r="B6" s="105" t="s">
        <v>36</v>
      </c>
      <c r="C6" s="106"/>
      <c r="D6" s="106"/>
      <c r="E6" s="106"/>
      <c r="F6" s="106"/>
      <c r="G6" s="106"/>
      <c r="H6" s="105" t="s">
        <v>37</v>
      </c>
      <c r="I6" s="106"/>
      <c r="J6" s="106"/>
      <c r="K6" s="106"/>
      <c r="L6" s="106"/>
      <c r="M6" s="106"/>
      <c r="N6" s="105" t="s">
        <v>4</v>
      </c>
      <c r="O6" s="106"/>
      <c r="P6" s="106"/>
      <c r="Q6" s="106"/>
      <c r="R6" s="106"/>
      <c r="S6" s="106"/>
    </row>
    <row r="7" spans="1:19" ht="12.75">
      <c r="A7" s="98"/>
      <c r="B7" s="107" t="s">
        <v>24</v>
      </c>
      <c r="C7" s="108"/>
      <c r="D7" s="108"/>
      <c r="E7" s="107" t="s">
        <v>25</v>
      </c>
      <c r="F7" s="108"/>
      <c r="G7" s="108"/>
      <c r="H7" s="107" t="s">
        <v>24</v>
      </c>
      <c r="I7" s="108"/>
      <c r="J7" s="108"/>
      <c r="K7" s="107" t="s">
        <v>25</v>
      </c>
      <c r="L7" s="108"/>
      <c r="M7" s="108"/>
      <c r="N7" s="107" t="s">
        <v>24</v>
      </c>
      <c r="O7" s="108"/>
      <c r="P7" s="108"/>
      <c r="Q7" s="107" t="s">
        <v>25</v>
      </c>
      <c r="R7" s="108"/>
      <c r="S7" s="108"/>
    </row>
    <row r="8" spans="1:19" s="165" customFormat="1" ht="12.75">
      <c r="A8" s="164"/>
      <c r="B8" s="185" t="s">
        <v>5</v>
      </c>
      <c r="C8" s="186" t="s">
        <v>6</v>
      </c>
      <c r="D8" s="186" t="s">
        <v>4</v>
      </c>
      <c r="E8" s="185" t="s">
        <v>5</v>
      </c>
      <c r="F8" s="186" t="s">
        <v>6</v>
      </c>
      <c r="G8" s="186" t="s">
        <v>4</v>
      </c>
      <c r="H8" s="185" t="s">
        <v>5</v>
      </c>
      <c r="I8" s="186" t="s">
        <v>6</v>
      </c>
      <c r="J8" s="186" t="s">
        <v>4</v>
      </c>
      <c r="K8" s="185" t="s">
        <v>5</v>
      </c>
      <c r="L8" s="186" t="s">
        <v>6</v>
      </c>
      <c r="M8" s="186" t="s">
        <v>4</v>
      </c>
      <c r="N8" s="185" t="s">
        <v>5</v>
      </c>
      <c r="O8" s="186" t="s">
        <v>6</v>
      </c>
      <c r="P8" s="186" t="s">
        <v>4</v>
      </c>
      <c r="Q8" s="185" t="s">
        <v>5</v>
      </c>
      <c r="R8" s="186" t="s">
        <v>6</v>
      </c>
      <c r="S8" s="186" t="s">
        <v>4</v>
      </c>
    </row>
    <row r="9" spans="1:19" ht="12.75">
      <c r="A9" s="96"/>
      <c r="B9" s="109"/>
      <c r="C9" s="96"/>
      <c r="D9" s="96"/>
      <c r="E9" s="110"/>
      <c r="F9" s="97"/>
      <c r="G9" s="97"/>
      <c r="H9" s="110"/>
      <c r="I9" s="97"/>
      <c r="J9" s="97"/>
      <c r="K9" s="110"/>
      <c r="L9" s="97"/>
      <c r="M9" s="97"/>
      <c r="N9" s="110"/>
      <c r="O9" s="97"/>
      <c r="P9" s="97"/>
      <c r="Q9" s="110"/>
      <c r="R9" s="97"/>
      <c r="S9" s="97"/>
    </row>
    <row r="10" spans="1:19" ht="12.75">
      <c r="A10" s="96" t="s">
        <v>7</v>
      </c>
      <c r="B10" s="111"/>
      <c r="C10" s="112"/>
      <c r="D10" s="112"/>
      <c r="E10" s="111"/>
      <c r="F10" s="112"/>
      <c r="G10" s="112"/>
      <c r="H10" s="111"/>
      <c r="I10" s="112"/>
      <c r="J10" s="112"/>
      <c r="K10" s="111"/>
      <c r="L10" s="112"/>
      <c r="M10" s="112"/>
      <c r="N10" s="111"/>
      <c r="O10" s="112"/>
      <c r="P10" s="112"/>
      <c r="Q10" s="111"/>
      <c r="R10" s="112"/>
      <c r="S10" s="112"/>
    </row>
    <row r="11" spans="1:19" ht="12.75">
      <c r="A11" s="97" t="s">
        <v>39</v>
      </c>
      <c r="B11" s="111">
        <f>79+6831</f>
        <v>6910</v>
      </c>
      <c r="C11" s="112">
        <f>7357+10769</f>
        <v>18126</v>
      </c>
      <c r="D11" s="112">
        <f>(B11+C11)</f>
        <v>25036</v>
      </c>
      <c r="E11" s="111">
        <f>31+886</f>
        <v>917</v>
      </c>
      <c r="F11" s="112">
        <f>2153+3995</f>
        <v>6148</v>
      </c>
      <c r="G11" s="112">
        <f>(E11+F11)</f>
        <v>7065</v>
      </c>
      <c r="H11" s="111">
        <f>13+1776</f>
        <v>1789</v>
      </c>
      <c r="I11" s="112">
        <f>4073+6499</f>
        <v>10572</v>
      </c>
      <c r="J11" s="112">
        <f>(H11+I11)</f>
        <v>12361</v>
      </c>
      <c r="K11" s="113">
        <f>37+604</f>
        <v>641</v>
      </c>
      <c r="L11" s="112">
        <f>2700+3569</f>
        <v>6269</v>
      </c>
      <c r="M11" s="112">
        <f>SUM(K11:L11)</f>
        <v>6910</v>
      </c>
      <c r="N11" s="111">
        <f aca="true" t="shared" si="0" ref="N11:S13">SUM(B11,H11)</f>
        <v>8699</v>
      </c>
      <c r="O11" s="112">
        <f t="shared" si="0"/>
        <v>28698</v>
      </c>
      <c r="P11" s="112">
        <f t="shared" si="0"/>
        <v>37397</v>
      </c>
      <c r="Q11" s="111">
        <f t="shared" si="0"/>
        <v>1558</v>
      </c>
      <c r="R11" s="112">
        <f t="shared" si="0"/>
        <v>12417</v>
      </c>
      <c r="S11" s="112">
        <f t="shared" si="0"/>
        <v>13975</v>
      </c>
    </row>
    <row r="12" spans="1:19" ht="12.75">
      <c r="A12" s="97" t="s">
        <v>48</v>
      </c>
      <c r="B12" s="111">
        <v>6178</v>
      </c>
      <c r="C12" s="112">
        <v>20218</v>
      </c>
      <c r="D12" s="112">
        <f>(B12+C12)</f>
        <v>26396</v>
      </c>
      <c r="E12" s="111">
        <v>993</v>
      </c>
      <c r="F12" s="112">
        <v>7110</v>
      </c>
      <c r="G12" s="112">
        <f>(E12+F12)</f>
        <v>8103</v>
      </c>
      <c r="H12" s="111">
        <v>2009</v>
      </c>
      <c r="I12" s="112">
        <v>12193</v>
      </c>
      <c r="J12" s="112">
        <f>(H12+I12)</f>
        <v>14202</v>
      </c>
      <c r="K12" s="113">
        <v>612</v>
      </c>
      <c r="L12" s="112">
        <v>4919</v>
      </c>
      <c r="M12" s="112">
        <f>SUM(K12:L12)</f>
        <v>5531</v>
      </c>
      <c r="N12" s="111">
        <f t="shared" si="0"/>
        <v>8187</v>
      </c>
      <c r="O12" s="112">
        <f t="shared" si="0"/>
        <v>32411</v>
      </c>
      <c r="P12" s="112">
        <f t="shared" si="0"/>
        <v>40598</v>
      </c>
      <c r="Q12" s="111">
        <f t="shared" si="0"/>
        <v>1605</v>
      </c>
      <c r="R12" s="112">
        <f t="shared" si="0"/>
        <v>12029</v>
      </c>
      <c r="S12" s="112">
        <f t="shared" si="0"/>
        <v>13634</v>
      </c>
    </row>
    <row r="13" spans="1:19" ht="12.75">
      <c r="A13" s="97" t="s">
        <v>56</v>
      </c>
      <c r="B13" s="111">
        <v>5425</v>
      </c>
      <c r="C13" s="112">
        <v>20410</v>
      </c>
      <c r="D13" s="112">
        <f>(B13+C13)</f>
        <v>25835</v>
      </c>
      <c r="E13" s="111">
        <v>820</v>
      </c>
      <c r="F13" s="112">
        <v>6372</v>
      </c>
      <c r="G13" s="112">
        <f>(E13+F13)</f>
        <v>7192</v>
      </c>
      <c r="H13" s="111">
        <v>1653</v>
      </c>
      <c r="I13" s="112">
        <v>12020</v>
      </c>
      <c r="J13" s="112">
        <f>(H13+I13)</f>
        <v>13673</v>
      </c>
      <c r="K13" s="113">
        <v>805</v>
      </c>
      <c r="L13" s="112">
        <v>6237</v>
      </c>
      <c r="M13" s="112">
        <f>SUM(K13:L13)</f>
        <v>7042</v>
      </c>
      <c r="N13" s="111">
        <f t="shared" si="0"/>
        <v>7078</v>
      </c>
      <c r="O13" s="112">
        <f t="shared" si="0"/>
        <v>32430</v>
      </c>
      <c r="P13" s="112">
        <f t="shared" si="0"/>
        <v>39508</v>
      </c>
      <c r="Q13" s="111">
        <f t="shared" si="0"/>
        <v>1625</v>
      </c>
      <c r="R13" s="112">
        <f t="shared" si="0"/>
        <v>12609</v>
      </c>
      <c r="S13" s="112">
        <f t="shared" si="0"/>
        <v>14234</v>
      </c>
    </row>
    <row r="14" spans="1:19" ht="12.75">
      <c r="A14" s="97" t="s">
        <v>86</v>
      </c>
      <c r="B14" s="111">
        <v>4866</v>
      </c>
      <c r="C14" s="112">
        <v>20816</v>
      </c>
      <c r="D14" s="112">
        <f>(B14+C14)</f>
        <v>25682</v>
      </c>
      <c r="E14" s="111">
        <v>886</v>
      </c>
      <c r="F14" s="112">
        <v>6906</v>
      </c>
      <c r="G14" s="112">
        <f>(E14+F14)</f>
        <v>7792</v>
      </c>
      <c r="H14" s="111">
        <v>1384</v>
      </c>
      <c r="I14" s="112">
        <v>11987</v>
      </c>
      <c r="J14" s="112">
        <f>(H14+I14)</f>
        <v>13371</v>
      </c>
      <c r="K14" s="113">
        <v>862</v>
      </c>
      <c r="L14" s="112">
        <v>6319</v>
      </c>
      <c r="M14" s="112">
        <f>SUM(K14:L14)</f>
        <v>7181</v>
      </c>
      <c r="N14" s="111">
        <f aca="true" t="shared" si="1" ref="N14:S14">SUM(B14,H14)</f>
        <v>6250</v>
      </c>
      <c r="O14" s="112">
        <f t="shared" si="1"/>
        <v>32803</v>
      </c>
      <c r="P14" s="112">
        <f t="shared" si="1"/>
        <v>39053</v>
      </c>
      <c r="Q14" s="111">
        <f t="shared" si="1"/>
        <v>1748</v>
      </c>
      <c r="R14" s="112">
        <f t="shared" si="1"/>
        <v>13225</v>
      </c>
      <c r="S14" s="112">
        <f t="shared" si="1"/>
        <v>14973</v>
      </c>
    </row>
    <row r="15" spans="1:19" ht="12.75">
      <c r="A15" s="98"/>
      <c r="B15" s="111"/>
      <c r="C15" s="112"/>
      <c r="D15" s="112"/>
      <c r="E15" s="111"/>
      <c r="F15" s="112"/>
      <c r="G15" s="112"/>
      <c r="H15" s="111"/>
      <c r="I15" s="112"/>
      <c r="J15" s="112"/>
      <c r="K15" s="111"/>
      <c r="L15" s="112"/>
      <c r="M15" s="112"/>
      <c r="N15" s="111"/>
      <c r="O15" s="112"/>
      <c r="P15" s="112"/>
      <c r="Q15" s="111"/>
      <c r="R15" s="112"/>
      <c r="S15" s="112"/>
    </row>
    <row r="16" spans="1:19" ht="12.75">
      <c r="A16" s="96" t="s">
        <v>11</v>
      </c>
      <c r="B16" s="111"/>
      <c r="C16" s="112"/>
      <c r="D16" s="112"/>
      <c r="E16" s="111"/>
      <c r="F16" s="112"/>
      <c r="G16" s="112"/>
      <c r="H16" s="111"/>
      <c r="I16" s="112"/>
      <c r="J16" s="112"/>
      <c r="K16" s="111"/>
      <c r="L16" s="112"/>
      <c r="M16" s="112"/>
      <c r="N16" s="111"/>
      <c r="O16" s="112"/>
      <c r="P16" s="112"/>
      <c r="Q16" s="111"/>
      <c r="R16" s="112"/>
      <c r="S16" s="112"/>
    </row>
    <row r="17" spans="1:19" ht="12.75">
      <c r="A17" s="97" t="s">
        <v>39</v>
      </c>
      <c r="B17" s="111">
        <f>6+849</f>
        <v>855</v>
      </c>
      <c r="C17" s="112">
        <f>223+1943</f>
        <v>2166</v>
      </c>
      <c r="D17" s="112">
        <f>SUM(B17:C17)</f>
        <v>3021</v>
      </c>
      <c r="E17" s="111">
        <f>1+116</f>
        <v>117</v>
      </c>
      <c r="F17" s="112">
        <f>76+564</f>
        <v>640</v>
      </c>
      <c r="G17" s="112">
        <f>SUM(E17:F17)</f>
        <v>757</v>
      </c>
      <c r="H17" s="111">
        <f>1+153</f>
        <v>154</v>
      </c>
      <c r="I17" s="112">
        <f>112+791</f>
        <v>903</v>
      </c>
      <c r="J17" s="112">
        <f>SUM(H17:I17)</f>
        <v>1057</v>
      </c>
      <c r="K17" s="113">
        <f>2+86</f>
        <v>88</v>
      </c>
      <c r="L17" s="112">
        <f>66+491</f>
        <v>557</v>
      </c>
      <c r="M17" s="112">
        <f>SUM(K17:L17)</f>
        <v>645</v>
      </c>
      <c r="N17" s="111">
        <f aca="true" t="shared" si="2" ref="N17:S19">SUM(B17,H17)</f>
        <v>1009</v>
      </c>
      <c r="O17" s="112">
        <f t="shared" si="2"/>
        <v>3069</v>
      </c>
      <c r="P17" s="112">
        <f t="shared" si="2"/>
        <v>4078</v>
      </c>
      <c r="Q17" s="111">
        <f t="shared" si="2"/>
        <v>205</v>
      </c>
      <c r="R17" s="112">
        <f t="shared" si="2"/>
        <v>1197</v>
      </c>
      <c r="S17" s="112">
        <f t="shared" si="2"/>
        <v>1402</v>
      </c>
    </row>
    <row r="18" spans="1:19" ht="12.75">
      <c r="A18" s="97" t="s">
        <v>48</v>
      </c>
      <c r="B18" s="111">
        <v>796</v>
      </c>
      <c r="C18" s="112">
        <v>2404</v>
      </c>
      <c r="D18" s="112">
        <f>SUM(B18:C18)</f>
        <v>3200</v>
      </c>
      <c r="E18" s="111">
        <v>173</v>
      </c>
      <c r="F18" s="112">
        <v>899</v>
      </c>
      <c r="G18" s="112">
        <f>SUM(E18:F18)</f>
        <v>1072</v>
      </c>
      <c r="H18" s="111">
        <v>201</v>
      </c>
      <c r="I18" s="112">
        <v>1015</v>
      </c>
      <c r="J18" s="112">
        <f>SUM(H18:I18)</f>
        <v>1216</v>
      </c>
      <c r="K18" s="113">
        <v>64</v>
      </c>
      <c r="L18" s="112">
        <v>416</v>
      </c>
      <c r="M18" s="112">
        <f>SUM(K18:L18)</f>
        <v>480</v>
      </c>
      <c r="N18" s="111">
        <f t="shared" si="2"/>
        <v>997</v>
      </c>
      <c r="O18" s="112">
        <f t="shared" si="2"/>
        <v>3419</v>
      </c>
      <c r="P18" s="112">
        <f t="shared" si="2"/>
        <v>4416</v>
      </c>
      <c r="Q18" s="111">
        <f t="shared" si="2"/>
        <v>237</v>
      </c>
      <c r="R18" s="112">
        <f t="shared" si="2"/>
        <v>1315</v>
      </c>
      <c r="S18" s="112">
        <f t="shared" si="2"/>
        <v>1552</v>
      </c>
    </row>
    <row r="19" spans="1:19" ht="12.75">
      <c r="A19" s="97" t="s">
        <v>56</v>
      </c>
      <c r="B19" s="111">
        <v>758</v>
      </c>
      <c r="C19" s="112">
        <v>2571</v>
      </c>
      <c r="D19" s="112">
        <f>SUM(B19:C19)</f>
        <v>3329</v>
      </c>
      <c r="E19" s="111">
        <v>176</v>
      </c>
      <c r="F19" s="112">
        <v>967</v>
      </c>
      <c r="G19" s="112">
        <f>SUM(E19:F19)</f>
        <v>1143</v>
      </c>
      <c r="H19" s="111">
        <v>183</v>
      </c>
      <c r="I19" s="112">
        <v>1068</v>
      </c>
      <c r="J19" s="112">
        <f>SUM(H19:I19)</f>
        <v>1251</v>
      </c>
      <c r="K19" s="113">
        <v>90</v>
      </c>
      <c r="L19" s="112">
        <v>575</v>
      </c>
      <c r="M19" s="112">
        <f>SUM(K19:L19)</f>
        <v>665</v>
      </c>
      <c r="N19" s="111">
        <f t="shared" si="2"/>
        <v>941</v>
      </c>
      <c r="O19" s="112">
        <f t="shared" si="2"/>
        <v>3639</v>
      </c>
      <c r="P19" s="112">
        <f t="shared" si="2"/>
        <v>4580</v>
      </c>
      <c r="Q19" s="111">
        <f t="shared" si="2"/>
        <v>266</v>
      </c>
      <c r="R19" s="112">
        <f t="shared" si="2"/>
        <v>1542</v>
      </c>
      <c r="S19" s="112">
        <f t="shared" si="2"/>
        <v>1808</v>
      </c>
    </row>
    <row r="20" spans="1:19" ht="12.75">
      <c r="A20" s="97" t="s">
        <v>86</v>
      </c>
      <c r="B20" s="111">
        <v>736</v>
      </c>
      <c r="C20" s="112">
        <v>2627</v>
      </c>
      <c r="D20" s="112">
        <f>SUM(B20:C20)</f>
        <v>3363</v>
      </c>
      <c r="E20" s="111">
        <v>159</v>
      </c>
      <c r="F20" s="112">
        <v>1050</v>
      </c>
      <c r="G20" s="112">
        <f>SUM(E20:F20)</f>
        <v>1209</v>
      </c>
      <c r="H20" s="111">
        <v>146</v>
      </c>
      <c r="I20" s="112">
        <v>1285</v>
      </c>
      <c r="J20" s="112">
        <f>SUM(H20:I20)</f>
        <v>1431</v>
      </c>
      <c r="K20" s="113">
        <v>102</v>
      </c>
      <c r="L20" s="112">
        <v>630</v>
      </c>
      <c r="M20" s="112">
        <f>SUM(K20:L20)</f>
        <v>732</v>
      </c>
      <c r="N20" s="111">
        <f aca="true" t="shared" si="3" ref="N20:S20">SUM(B20,H20)</f>
        <v>882</v>
      </c>
      <c r="O20" s="112">
        <f t="shared" si="3"/>
        <v>3912</v>
      </c>
      <c r="P20" s="112">
        <f t="shared" si="3"/>
        <v>4794</v>
      </c>
      <c r="Q20" s="111">
        <f t="shared" si="3"/>
        <v>261</v>
      </c>
      <c r="R20" s="112">
        <f t="shared" si="3"/>
        <v>1680</v>
      </c>
      <c r="S20" s="112">
        <f t="shared" si="3"/>
        <v>1941</v>
      </c>
    </row>
    <row r="21" spans="1:19" ht="12.75">
      <c r="A21" s="97"/>
      <c r="B21" s="111"/>
      <c r="C21" s="112"/>
      <c r="D21" s="112"/>
      <c r="E21" s="111"/>
      <c r="F21" s="112"/>
      <c r="G21" s="112"/>
      <c r="H21" s="111"/>
      <c r="I21" s="112"/>
      <c r="J21" s="112"/>
      <c r="K21" s="111"/>
      <c r="L21" s="112"/>
      <c r="M21" s="112"/>
      <c r="N21" s="111"/>
      <c r="O21" s="112"/>
      <c r="P21" s="112"/>
      <c r="Q21" s="111"/>
      <c r="R21" s="112"/>
      <c r="S21" s="112"/>
    </row>
    <row r="22" spans="1:19" ht="12.75">
      <c r="A22" s="96" t="s">
        <v>12</v>
      </c>
      <c r="B22" s="111"/>
      <c r="C22" s="112"/>
      <c r="D22" s="112"/>
      <c r="E22" s="111"/>
      <c r="F22" s="112"/>
      <c r="G22" s="112"/>
      <c r="H22" s="111"/>
      <c r="I22" s="112"/>
      <c r="J22" s="112"/>
      <c r="K22" s="111"/>
      <c r="L22" s="112"/>
      <c r="M22" s="112"/>
      <c r="N22" s="111"/>
      <c r="O22" s="112"/>
      <c r="P22" s="112"/>
      <c r="Q22" s="111"/>
      <c r="R22" s="112"/>
      <c r="S22" s="112"/>
    </row>
    <row r="23" spans="1:19" ht="12.75">
      <c r="A23" s="97" t="s">
        <v>39</v>
      </c>
      <c r="B23" s="111">
        <v>17620</v>
      </c>
      <c r="C23" s="112">
        <v>13908</v>
      </c>
      <c r="D23" s="112">
        <f>SUM(B23:C23)</f>
        <v>31528</v>
      </c>
      <c r="E23" s="111">
        <v>2779</v>
      </c>
      <c r="F23" s="112">
        <v>3851</v>
      </c>
      <c r="G23" s="112">
        <f>SUM(E23:F23)</f>
        <v>6630</v>
      </c>
      <c r="H23" s="111">
        <v>3816</v>
      </c>
      <c r="I23" s="112">
        <v>11562</v>
      </c>
      <c r="J23" s="112">
        <f>SUM(H23:I23)</f>
        <v>15378</v>
      </c>
      <c r="K23" s="113">
        <v>2113</v>
      </c>
      <c r="L23" s="112">
        <v>4353</v>
      </c>
      <c r="M23" s="112">
        <f>SUM(K23:L23)</f>
        <v>6466</v>
      </c>
      <c r="N23" s="111">
        <f aca="true" t="shared" si="4" ref="N23:S25">SUM(B23,H23)</f>
        <v>21436</v>
      </c>
      <c r="O23" s="112">
        <f t="shared" si="4"/>
        <v>25470</v>
      </c>
      <c r="P23" s="112">
        <f t="shared" si="4"/>
        <v>46906</v>
      </c>
      <c r="Q23" s="111">
        <f t="shared" si="4"/>
        <v>4892</v>
      </c>
      <c r="R23" s="112">
        <f t="shared" si="4"/>
        <v>8204</v>
      </c>
      <c r="S23" s="112">
        <f t="shared" si="4"/>
        <v>13096</v>
      </c>
    </row>
    <row r="24" spans="1:19" ht="12.75">
      <c r="A24" s="97" t="s">
        <v>48</v>
      </c>
      <c r="B24" s="111">
        <v>16362</v>
      </c>
      <c r="C24" s="112">
        <v>14391</v>
      </c>
      <c r="D24" s="112">
        <f>SUM(B24:C24)</f>
        <v>30753</v>
      </c>
      <c r="E24" s="111">
        <v>4204</v>
      </c>
      <c r="F24" s="112">
        <v>6005</v>
      </c>
      <c r="G24" s="112">
        <f>SUM(E24:F24)</f>
        <v>10209</v>
      </c>
      <c r="H24" s="111">
        <v>3640</v>
      </c>
      <c r="I24" s="112">
        <v>11694</v>
      </c>
      <c r="J24" s="112">
        <f>SUM(H24:I24)</f>
        <v>15334</v>
      </c>
      <c r="K24" s="113">
        <v>1701</v>
      </c>
      <c r="L24" s="112">
        <v>3673</v>
      </c>
      <c r="M24" s="112">
        <f>SUM(K24:L24)</f>
        <v>5374</v>
      </c>
      <c r="N24" s="111">
        <f t="shared" si="4"/>
        <v>20002</v>
      </c>
      <c r="O24" s="112">
        <f t="shared" si="4"/>
        <v>26085</v>
      </c>
      <c r="P24" s="112">
        <f t="shared" si="4"/>
        <v>46087</v>
      </c>
      <c r="Q24" s="111">
        <f t="shared" si="4"/>
        <v>5905</v>
      </c>
      <c r="R24" s="112">
        <f t="shared" si="4"/>
        <v>9678</v>
      </c>
      <c r="S24" s="112">
        <f t="shared" si="4"/>
        <v>15583</v>
      </c>
    </row>
    <row r="25" spans="1:19" ht="12.75">
      <c r="A25" s="97" t="s">
        <v>56</v>
      </c>
      <c r="B25" s="111">
        <v>15534</v>
      </c>
      <c r="C25" s="112">
        <v>15250</v>
      </c>
      <c r="D25" s="112">
        <f>SUM(B25:C25)</f>
        <v>30784</v>
      </c>
      <c r="E25" s="111">
        <v>3870</v>
      </c>
      <c r="F25" s="112">
        <v>5542</v>
      </c>
      <c r="G25" s="112">
        <f>SUM(E25:F25)</f>
        <v>9412</v>
      </c>
      <c r="H25" s="111">
        <v>3566</v>
      </c>
      <c r="I25" s="112">
        <v>11738</v>
      </c>
      <c r="J25" s="112">
        <f>SUM(H25:I25)</f>
        <v>15304</v>
      </c>
      <c r="K25" s="113">
        <v>2233</v>
      </c>
      <c r="L25" s="112">
        <v>4579</v>
      </c>
      <c r="M25" s="112">
        <f>SUM(K25:L25)</f>
        <v>6812</v>
      </c>
      <c r="N25" s="111">
        <f t="shared" si="4"/>
        <v>19100</v>
      </c>
      <c r="O25" s="112">
        <f t="shared" si="4"/>
        <v>26988</v>
      </c>
      <c r="P25" s="112">
        <f t="shared" si="4"/>
        <v>46088</v>
      </c>
      <c r="Q25" s="111">
        <f t="shared" si="4"/>
        <v>6103</v>
      </c>
      <c r="R25" s="112">
        <f t="shared" si="4"/>
        <v>10121</v>
      </c>
      <c r="S25" s="112">
        <f t="shared" si="4"/>
        <v>16224</v>
      </c>
    </row>
    <row r="26" spans="1:19" ht="12.75">
      <c r="A26" s="97" t="s">
        <v>86</v>
      </c>
      <c r="B26" s="111">
        <v>14830</v>
      </c>
      <c r="C26" s="112">
        <v>15400</v>
      </c>
      <c r="D26" s="112">
        <f>SUM(B26:C26)</f>
        <v>30230</v>
      </c>
      <c r="E26" s="111">
        <f>4086-35</f>
        <v>4051</v>
      </c>
      <c r="F26" s="112">
        <f>5657-175</f>
        <v>5482</v>
      </c>
      <c r="G26" s="112">
        <f>SUM(E26:F26)</f>
        <v>9533</v>
      </c>
      <c r="H26" s="111">
        <f>3877-15</f>
        <v>3862</v>
      </c>
      <c r="I26" s="112">
        <v>12407</v>
      </c>
      <c r="J26" s="112">
        <f>SUM(H26:I26)</f>
        <v>16269</v>
      </c>
      <c r="K26" s="113">
        <f>2390-11</f>
        <v>2379</v>
      </c>
      <c r="L26" s="112">
        <f>4712-89</f>
        <v>4623</v>
      </c>
      <c r="M26" s="112">
        <f>SUM(K26:L26)</f>
        <v>7002</v>
      </c>
      <c r="N26" s="111">
        <f aca="true" t="shared" si="5" ref="N26:S26">SUM(B26,H26)</f>
        <v>18692</v>
      </c>
      <c r="O26" s="112">
        <f t="shared" si="5"/>
        <v>27807</v>
      </c>
      <c r="P26" s="112">
        <f t="shared" si="5"/>
        <v>46499</v>
      </c>
      <c r="Q26" s="111">
        <f t="shared" si="5"/>
        <v>6430</v>
      </c>
      <c r="R26" s="112">
        <f t="shared" si="5"/>
        <v>10105</v>
      </c>
      <c r="S26" s="112">
        <f t="shared" si="5"/>
        <v>16535</v>
      </c>
    </row>
    <row r="27" spans="1:19" ht="15" customHeight="1">
      <c r="A27" s="98"/>
      <c r="B27" s="111"/>
      <c r="C27" s="112"/>
      <c r="D27" s="112"/>
      <c r="E27" s="111"/>
      <c r="F27" s="112"/>
      <c r="G27" s="112"/>
      <c r="H27" s="111"/>
      <c r="I27" s="112"/>
      <c r="J27" s="112"/>
      <c r="K27" s="111"/>
      <c r="L27" s="112"/>
      <c r="M27" s="112"/>
      <c r="N27" s="111"/>
      <c r="O27" s="112"/>
      <c r="P27" s="112"/>
      <c r="Q27" s="111"/>
      <c r="R27" s="112"/>
      <c r="S27" s="112"/>
    </row>
    <row r="28" spans="1:19" ht="12.75">
      <c r="A28" s="96" t="s">
        <v>13</v>
      </c>
      <c r="B28" s="111"/>
      <c r="C28" s="112"/>
      <c r="D28" s="112"/>
      <c r="E28" s="111"/>
      <c r="F28" s="112"/>
      <c r="G28" s="112"/>
      <c r="H28" s="111"/>
      <c r="I28" s="112"/>
      <c r="J28" s="112"/>
      <c r="K28" s="111"/>
      <c r="L28" s="112"/>
      <c r="M28" s="112"/>
      <c r="N28" s="111"/>
      <c r="O28" s="112"/>
      <c r="P28" s="112"/>
      <c r="Q28" s="111"/>
      <c r="R28" s="112"/>
      <c r="S28" s="112"/>
    </row>
    <row r="29" spans="1:19" ht="12.75">
      <c r="A29" s="97" t="s">
        <v>39</v>
      </c>
      <c r="B29" s="111">
        <v>1561</v>
      </c>
      <c r="C29" s="112">
        <v>1408</v>
      </c>
      <c r="D29" s="112">
        <f>SUM(B29:C29)</f>
        <v>2969</v>
      </c>
      <c r="E29" s="111">
        <v>286</v>
      </c>
      <c r="F29" s="112">
        <v>373</v>
      </c>
      <c r="G29" s="112">
        <f>SUM(E29:F29)</f>
        <v>659</v>
      </c>
      <c r="H29" s="111">
        <v>258</v>
      </c>
      <c r="I29" s="112">
        <v>507</v>
      </c>
      <c r="J29" s="112">
        <f>SUM(H29:I29)</f>
        <v>765</v>
      </c>
      <c r="K29" s="113">
        <v>195</v>
      </c>
      <c r="L29" s="112">
        <v>357</v>
      </c>
      <c r="M29" s="112">
        <f>SUM(K29:L29)</f>
        <v>552</v>
      </c>
      <c r="N29" s="111">
        <f>SUM(B29,H29)</f>
        <v>1819</v>
      </c>
      <c r="O29" s="112">
        <f aca="true" t="shared" si="6" ref="O29:S30">SUM(C29,I29)</f>
        <v>1915</v>
      </c>
      <c r="P29" s="112">
        <f t="shared" si="6"/>
        <v>3734</v>
      </c>
      <c r="Q29" s="111">
        <f t="shared" si="6"/>
        <v>481</v>
      </c>
      <c r="R29" s="112">
        <f t="shared" si="6"/>
        <v>730</v>
      </c>
      <c r="S29" s="112">
        <f t="shared" si="6"/>
        <v>1211</v>
      </c>
    </row>
    <row r="30" spans="1:19" ht="12.75">
      <c r="A30" s="97" t="s">
        <v>48</v>
      </c>
      <c r="B30" s="111">
        <v>1479</v>
      </c>
      <c r="C30" s="112">
        <v>1521</v>
      </c>
      <c r="D30" s="112">
        <f>SUM(B30:C30)</f>
        <v>3000</v>
      </c>
      <c r="E30" s="111">
        <v>437</v>
      </c>
      <c r="F30" s="112">
        <v>608</v>
      </c>
      <c r="G30" s="112">
        <f>SUM(E30:F30)</f>
        <v>1045</v>
      </c>
      <c r="H30" s="111">
        <v>297</v>
      </c>
      <c r="I30" s="112">
        <v>556</v>
      </c>
      <c r="J30" s="112">
        <f>SUM(H30:I30)</f>
        <v>853</v>
      </c>
      <c r="K30" s="113">
        <v>128</v>
      </c>
      <c r="L30" s="112">
        <v>255</v>
      </c>
      <c r="M30" s="112">
        <f>SUM(K30:L30)</f>
        <v>383</v>
      </c>
      <c r="N30" s="111">
        <f>SUM(B30,H30)</f>
        <v>1776</v>
      </c>
      <c r="O30" s="112">
        <f t="shared" si="6"/>
        <v>2077</v>
      </c>
      <c r="P30" s="112">
        <f t="shared" si="6"/>
        <v>3853</v>
      </c>
      <c r="Q30" s="111">
        <f t="shared" si="6"/>
        <v>565</v>
      </c>
      <c r="R30" s="112">
        <f t="shared" si="6"/>
        <v>863</v>
      </c>
      <c r="S30" s="112">
        <f t="shared" si="6"/>
        <v>1428</v>
      </c>
    </row>
    <row r="31" spans="1:19" ht="12.75">
      <c r="A31" s="97" t="s">
        <v>56</v>
      </c>
      <c r="B31" s="111">
        <v>1467</v>
      </c>
      <c r="C31" s="112">
        <v>1733</v>
      </c>
      <c r="D31" s="112">
        <f>SUM(B31:C31)</f>
        <v>3200</v>
      </c>
      <c r="E31" s="111">
        <v>450</v>
      </c>
      <c r="F31" s="112">
        <v>777</v>
      </c>
      <c r="G31" s="112">
        <f>SUM(E31:F31)</f>
        <v>1227</v>
      </c>
      <c r="H31" s="111">
        <v>275</v>
      </c>
      <c r="I31" s="112">
        <v>576</v>
      </c>
      <c r="J31" s="112">
        <f>SUM(H31:I31)</f>
        <v>851</v>
      </c>
      <c r="K31" s="113">
        <v>217</v>
      </c>
      <c r="L31" s="112">
        <v>386</v>
      </c>
      <c r="M31" s="112">
        <f>SUM(K31:L31)</f>
        <v>603</v>
      </c>
      <c r="N31" s="111">
        <f>SUM(B31,H31)</f>
        <v>1742</v>
      </c>
      <c r="O31" s="112">
        <f aca="true" t="shared" si="7" ref="O31:S32">SUM(C31,I31)</f>
        <v>2309</v>
      </c>
      <c r="P31" s="112">
        <f t="shared" si="7"/>
        <v>4051</v>
      </c>
      <c r="Q31" s="111">
        <f t="shared" si="7"/>
        <v>667</v>
      </c>
      <c r="R31" s="112">
        <f t="shared" si="7"/>
        <v>1163</v>
      </c>
      <c r="S31" s="112">
        <f t="shared" si="7"/>
        <v>1830</v>
      </c>
    </row>
    <row r="32" spans="1:19" ht="12.75">
      <c r="A32" s="97" t="s">
        <v>86</v>
      </c>
      <c r="B32" s="111">
        <v>1508</v>
      </c>
      <c r="C32" s="112">
        <v>1975</v>
      </c>
      <c r="D32" s="112">
        <f>SUM(B32:C32)</f>
        <v>3483</v>
      </c>
      <c r="E32" s="111">
        <v>490</v>
      </c>
      <c r="F32" s="112">
        <v>837</v>
      </c>
      <c r="G32" s="112">
        <f>SUM(E32:F32)</f>
        <v>1327</v>
      </c>
      <c r="H32" s="111">
        <v>270</v>
      </c>
      <c r="I32" s="112">
        <v>706</v>
      </c>
      <c r="J32" s="112">
        <f>SUM(H32:I32)</f>
        <v>976</v>
      </c>
      <c r="K32" s="113">
        <v>218</v>
      </c>
      <c r="L32" s="112">
        <v>506</v>
      </c>
      <c r="M32" s="112">
        <f>SUM(K32:L32)</f>
        <v>724</v>
      </c>
      <c r="N32" s="111">
        <f>SUM(B32,H32)</f>
        <v>1778</v>
      </c>
      <c r="O32" s="112">
        <f t="shared" si="7"/>
        <v>2681</v>
      </c>
      <c r="P32" s="112">
        <f t="shared" si="7"/>
        <v>4459</v>
      </c>
      <c r="Q32" s="111">
        <f t="shared" si="7"/>
        <v>708</v>
      </c>
      <c r="R32" s="112">
        <f t="shared" si="7"/>
        <v>1343</v>
      </c>
      <c r="S32" s="112">
        <f t="shared" si="7"/>
        <v>2051</v>
      </c>
    </row>
    <row r="33" spans="1:19" ht="12.75">
      <c r="A33" s="97"/>
      <c r="B33" s="111"/>
      <c r="C33" s="112"/>
      <c r="D33" s="112"/>
      <c r="E33" s="111"/>
      <c r="F33" s="112"/>
      <c r="G33" s="112"/>
      <c r="H33" s="111"/>
      <c r="I33" s="112"/>
      <c r="J33" s="112"/>
      <c r="K33" s="113"/>
      <c r="L33" s="112"/>
      <c r="M33" s="112"/>
      <c r="N33" s="111"/>
      <c r="O33" s="112"/>
      <c r="P33" s="112"/>
      <c r="Q33" s="111"/>
      <c r="R33" s="112"/>
      <c r="S33" s="112"/>
    </row>
    <row r="34" spans="1:19" ht="14.25" customHeight="1">
      <c r="A34" s="96" t="s">
        <v>115</v>
      </c>
      <c r="B34" s="111"/>
      <c r="C34" s="112"/>
      <c r="D34" s="112"/>
      <c r="E34" s="111"/>
      <c r="F34" s="112"/>
      <c r="G34" s="112"/>
      <c r="H34" s="111"/>
      <c r="I34" s="112"/>
      <c r="J34" s="112"/>
      <c r="K34" s="111"/>
      <c r="L34" s="112"/>
      <c r="M34" s="112"/>
      <c r="N34" s="111"/>
      <c r="O34" s="112"/>
      <c r="P34" s="112"/>
      <c r="Q34" s="111"/>
      <c r="R34" s="112"/>
      <c r="S34" s="112"/>
    </row>
    <row r="35" spans="1:19" ht="14.25" customHeight="1">
      <c r="A35" s="97" t="s">
        <v>86</v>
      </c>
      <c r="B35" s="111">
        <v>73</v>
      </c>
      <c r="C35" s="112">
        <v>414</v>
      </c>
      <c r="D35" s="112">
        <f>B35+C35</f>
        <v>487</v>
      </c>
      <c r="E35" s="86">
        <v>35</v>
      </c>
      <c r="F35" s="208">
        <v>175</v>
      </c>
      <c r="G35" s="208">
        <f>SUM(E35:F35)</f>
        <v>210</v>
      </c>
      <c r="H35" s="86">
        <v>15</v>
      </c>
      <c r="I35" s="208">
        <v>171</v>
      </c>
      <c r="J35" s="208">
        <f>SUM(H35:I35)</f>
        <v>186</v>
      </c>
      <c r="K35" s="86">
        <v>11</v>
      </c>
      <c r="L35" s="208">
        <v>89</v>
      </c>
      <c r="M35" s="208">
        <f>SUM(K35:L35)</f>
        <v>100</v>
      </c>
      <c r="N35" s="86">
        <f>SUM(B35,H35)</f>
        <v>88</v>
      </c>
      <c r="O35" s="208">
        <f>SUM(C35,I35)</f>
        <v>585</v>
      </c>
      <c r="P35" s="208">
        <f>SUM(N35:O35)</f>
        <v>673</v>
      </c>
      <c r="Q35" s="86">
        <f>SUM(E35,K35)</f>
        <v>46</v>
      </c>
      <c r="R35" s="208">
        <f>SUM(F35,L35)</f>
        <v>264</v>
      </c>
      <c r="S35" s="208">
        <f>SUM(Q35:R35)</f>
        <v>310</v>
      </c>
    </row>
    <row r="36" spans="1:19" ht="13.5" customHeight="1">
      <c r="A36" s="97"/>
      <c r="B36" s="111"/>
      <c r="C36" s="112"/>
      <c r="D36" s="112"/>
      <c r="E36" s="111"/>
      <c r="F36" s="112"/>
      <c r="G36" s="112"/>
      <c r="H36" s="111"/>
      <c r="I36" s="112"/>
      <c r="J36" s="112"/>
      <c r="K36" s="111"/>
      <c r="L36" s="112"/>
      <c r="M36" s="112"/>
      <c r="N36" s="111"/>
      <c r="O36" s="112"/>
      <c r="P36" s="112"/>
      <c r="Q36" s="111"/>
      <c r="R36" s="112"/>
      <c r="S36" s="112"/>
    </row>
    <row r="37" spans="1:19" ht="12.75">
      <c r="A37" s="96" t="s">
        <v>14</v>
      </c>
      <c r="B37" s="111"/>
      <c r="C37" s="112"/>
      <c r="D37" s="112"/>
      <c r="E37" s="111"/>
      <c r="F37" s="112"/>
      <c r="G37" s="112"/>
      <c r="H37" s="111"/>
      <c r="I37" s="112"/>
      <c r="J37" s="112"/>
      <c r="K37" s="111"/>
      <c r="L37" s="112"/>
      <c r="M37" s="112"/>
      <c r="N37" s="111"/>
      <c r="O37" s="112"/>
      <c r="P37" s="112"/>
      <c r="Q37" s="111"/>
      <c r="R37" s="112"/>
      <c r="S37" s="112"/>
    </row>
    <row r="38" spans="1:19" ht="12.75">
      <c r="A38" s="97" t="s">
        <v>39</v>
      </c>
      <c r="B38" s="111">
        <f>2533+52</f>
        <v>2585</v>
      </c>
      <c r="C38" s="112">
        <f>1537+66</f>
        <v>1603</v>
      </c>
      <c r="D38" s="112">
        <f>SUM(B38:C38)</f>
        <v>4188</v>
      </c>
      <c r="E38" s="111">
        <f>792+0</f>
        <v>792</v>
      </c>
      <c r="F38" s="112">
        <f>714+0</f>
        <v>714</v>
      </c>
      <c r="G38" s="112">
        <f>SUM(E38:F38)</f>
        <v>1506</v>
      </c>
      <c r="H38" s="111">
        <f>538+21</f>
        <v>559</v>
      </c>
      <c r="I38" s="112">
        <f>758+43</f>
        <v>801</v>
      </c>
      <c r="J38" s="112">
        <f>SUM(H38:I38)</f>
        <v>1360</v>
      </c>
      <c r="K38" s="113">
        <f>1163+2</f>
        <v>1165</v>
      </c>
      <c r="L38" s="112">
        <f>1002+8</f>
        <v>1010</v>
      </c>
      <c r="M38" s="112">
        <f>SUM(K38:L38)</f>
        <v>2175</v>
      </c>
      <c r="N38" s="111">
        <f aca="true" t="shared" si="8" ref="N38:S40">SUM(B38,H38)</f>
        <v>3144</v>
      </c>
      <c r="O38" s="112">
        <f t="shared" si="8"/>
        <v>2404</v>
      </c>
      <c r="P38" s="112">
        <f t="shared" si="8"/>
        <v>5548</v>
      </c>
      <c r="Q38" s="111">
        <f t="shared" si="8"/>
        <v>1957</v>
      </c>
      <c r="R38" s="168">
        <f t="shared" si="8"/>
        <v>1724</v>
      </c>
      <c r="S38" s="112">
        <f t="shared" si="8"/>
        <v>3681</v>
      </c>
    </row>
    <row r="39" spans="1:19" ht="12.75">
      <c r="A39" s="97" t="s">
        <v>48</v>
      </c>
      <c r="B39" s="111">
        <v>2243</v>
      </c>
      <c r="C39" s="112">
        <v>1486</v>
      </c>
      <c r="D39" s="112">
        <f>SUM(B39:C39)</f>
        <v>3729</v>
      </c>
      <c r="E39" s="111">
        <v>902</v>
      </c>
      <c r="F39" s="112">
        <v>897</v>
      </c>
      <c r="G39" s="112">
        <f>SUM(E39:F39)</f>
        <v>1799</v>
      </c>
      <c r="H39" s="111">
        <v>752</v>
      </c>
      <c r="I39" s="112">
        <v>968</v>
      </c>
      <c r="J39" s="112">
        <f>SUM(H39:I39)</f>
        <v>1720</v>
      </c>
      <c r="K39" s="113">
        <v>1126</v>
      </c>
      <c r="L39" s="112">
        <v>978</v>
      </c>
      <c r="M39" s="112">
        <f>SUM(K39:L39)</f>
        <v>2104</v>
      </c>
      <c r="N39" s="111">
        <f t="shared" si="8"/>
        <v>2995</v>
      </c>
      <c r="O39" s="112">
        <f t="shared" si="8"/>
        <v>2454</v>
      </c>
      <c r="P39" s="112">
        <f t="shared" si="8"/>
        <v>5449</v>
      </c>
      <c r="Q39" s="111">
        <f t="shared" si="8"/>
        <v>2028</v>
      </c>
      <c r="R39" s="168">
        <f t="shared" si="8"/>
        <v>1875</v>
      </c>
      <c r="S39" s="112">
        <f t="shared" si="8"/>
        <v>3903</v>
      </c>
    </row>
    <row r="40" spans="1:19" ht="12.75">
      <c r="A40" s="97" t="s">
        <v>56</v>
      </c>
      <c r="B40" s="111">
        <v>2146</v>
      </c>
      <c r="C40" s="112">
        <v>1525</v>
      </c>
      <c r="D40" s="112">
        <f>SUM(B40:C40)</f>
        <v>3671</v>
      </c>
      <c r="E40" s="111">
        <v>949</v>
      </c>
      <c r="F40" s="112">
        <v>959</v>
      </c>
      <c r="G40" s="112">
        <f>SUM(E40:F40)</f>
        <v>1908</v>
      </c>
      <c r="H40" s="111">
        <v>639</v>
      </c>
      <c r="I40" s="112">
        <v>1031</v>
      </c>
      <c r="J40" s="112">
        <f>SUM(H40:I40)</f>
        <v>1670</v>
      </c>
      <c r="K40" s="113">
        <v>1209</v>
      </c>
      <c r="L40" s="112">
        <v>1131</v>
      </c>
      <c r="M40" s="112">
        <f>SUM(K40:L40)</f>
        <v>2340</v>
      </c>
      <c r="N40" s="111">
        <f t="shared" si="8"/>
        <v>2785</v>
      </c>
      <c r="O40" s="112">
        <f t="shared" si="8"/>
        <v>2556</v>
      </c>
      <c r="P40" s="112">
        <f t="shared" si="8"/>
        <v>5341</v>
      </c>
      <c r="Q40" s="111">
        <f t="shared" si="8"/>
        <v>2158</v>
      </c>
      <c r="R40" s="168">
        <f t="shared" si="8"/>
        <v>2090</v>
      </c>
      <c r="S40" s="112">
        <f t="shared" si="8"/>
        <v>4248</v>
      </c>
    </row>
    <row r="41" spans="1:19" ht="12.75">
      <c r="A41" s="97" t="s">
        <v>86</v>
      </c>
      <c r="B41" s="111">
        <v>2051</v>
      </c>
      <c r="C41" s="112">
        <v>1561</v>
      </c>
      <c r="D41" s="112">
        <f>SUM(B41:C41)</f>
        <v>3612</v>
      </c>
      <c r="E41" s="111">
        <v>996</v>
      </c>
      <c r="F41" s="112">
        <v>1056</v>
      </c>
      <c r="G41" s="112">
        <f>SUM(E41:F41)</f>
        <v>2052</v>
      </c>
      <c r="H41" s="111">
        <v>671</v>
      </c>
      <c r="I41" s="112">
        <v>1194</v>
      </c>
      <c r="J41" s="112">
        <f>SUM(H41:I41)</f>
        <v>1865</v>
      </c>
      <c r="K41" s="113">
        <v>1429</v>
      </c>
      <c r="L41" s="112">
        <v>1326</v>
      </c>
      <c r="M41" s="112">
        <f>SUM(K41:L41)</f>
        <v>2755</v>
      </c>
      <c r="N41" s="111">
        <f aca="true" t="shared" si="9" ref="N41:S41">SUM(B41,H41)</f>
        <v>2722</v>
      </c>
      <c r="O41" s="112">
        <f t="shared" si="9"/>
        <v>2755</v>
      </c>
      <c r="P41" s="112">
        <f t="shared" si="9"/>
        <v>5477</v>
      </c>
      <c r="Q41" s="111">
        <f t="shared" si="9"/>
        <v>2425</v>
      </c>
      <c r="R41" s="168">
        <f t="shared" si="9"/>
        <v>2382</v>
      </c>
      <c r="S41" s="112">
        <f t="shared" si="9"/>
        <v>4807</v>
      </c>
    </row>
    <row r="42" spans="1:19" ht="14.25" customHeight="1">
      <c r="A42" s="97"/>
      <c r="B42" s="111"/>
      <c r="C42" s="112"/>
      <c r="D42" s="112"/>
      <c r="E42" s="111"/>
      <c r="F42" s="112"/>
      <c r="G42" s="112"/>
      <c r="H42" s="111"/>
      <c r="I42" s="112"/>
      <c r="J42" s="112"/>
      <c r="K42" s="111"/>
      <c r="L42" s="112"/>
      <c r="M42" s="112"/>
      <c r="N42" s="111"/>
      <c r="O42" s="112"/>
      <c r="P42" s="112"/>
      <c r="Q42" s="111"/>
      <c r="R42" s="112"/>
      <c r="S42" s="112"/>
    </row>
    <row r="43" spans="1:19" ht="14.25" customHeight="1">
      <c r="A43" s="96" t="s">
        <v>68</v>
      </c>
      <c r="B43" s="111"/>
      <c r="C43" s="112"/>
      <c r="D43" s="112"/>
      <c r="E43" s="111"/>
      <c r="F43" s="112"/>
      <c r="G43" s="112"/>
      <c r="H43" s="111"/>
      <c r="I43" s="112"/>
      <c r="J43" s="112"/>
      <c r="K43" s="111"/>
      <c r="L43" s="112"/>
      <c r="M43" s="112"/>
      <c r="N43" s="111"/>
      <c r="O43" s="112"/>
      <c r="P43" s="112"/>
      <c r="Q43" s="111"/>
      <c r="R43" s="112"/>
      <c r="S43" s="112"/>
    </row>
    <row r="44" spans="1:19" ht="14.25" customHeight="1">
      <c r="A44" s="97" t="s">
        <v>86</v>
      </c>
      <c r="B44" s="111">
        <v>0</v>
      </c>
      <c r="C44" s="112">
        <v>0</v>
      </c>
      <c r="D44" s="112">
        <f>B44+C44</f>
        <v>0</v>
      </c>
      <c r="E44" s="86">
        <v>70</v>
      </c>
      <c r="F44" s="208">
        <v>189</v>
      </c>
      <c r="G44" s="208">
        <f>SUM(E44:F44)</f>
        <v>259</v>
      </c>
      <c r="H44" s="86">
        <v>0</v>
      </c>
      <c r="I44" s="208">
        <v>0</v>
      </c>
      <c r="J44" s="208">
        <f>SUM(H44:I44)</f>
        <v>0</v>
      </c>
      <c r="K44" s="86">
        <v>55</v>
      </c>
      <c r="L44" s="208">
        <v>458</v>
      </c>
      <c r="M44" s="208">
        <f>SUM(K44:L44)</f>
        <v>513</v>
      </c>
      <c r="N44" s="86">
        <f>SUM(B44,H44)</f>
        <v>0</v>
      </c>
      <c r="O44" s="208">
        <f>SUM(C44,I44)</f>
        <v>0</v>
      </c>
      <c r="P44" s="208">
        <f>SUM(N44:O44)</f>
        <v>0</v>
      </c>
      <c r="Q44" s="86">
        <f>SUM(E44,K44)</f>
        <v>125</v>
      </c>
      <c r="R44" s="208">
        <f>SUM(F44,L44)</f>
        <v>647</v>
      </c>
      <c r="S44" s="208">
        <f>SUM(Q44:R44)</f>
        <v>772</v>
      </c>
    </row>
    <row r="45" spans="1:19" ht="14.25" customHeight="1">
      <c r="A45" s="97"/>
      <c r="B45" s="111"/>
      <c r="C45" s="112"/>
      <c r="D45" s="219"/>
      <c r="H45" s="111"/>
      <c r="I45" s="112"/>
      <c r="J45" s="112"/>
      <c r="K45" s="111"/>
      <c r="L45" s="112"/>
      <c r="M45" s="112"/>
      <c r="N45" s="111"/>
      <c r="O45" s="112"/>
      <c r="P45" s="112"/>
      <c r="Q45" s="111"/>
      <c r="R45" s="112"/>
      <c r="S45" s="112"/>
    </row>
    <row r="46" spans="1:19" ht="12.75">
      <c r="A46" s="1" t="s">
        <v>61</v>
      </c>
      <c r="B46" s="111"/>
      <c r="C46" s="112"/>
      <c r="D46" s="112"/>
      <c r="E46" s="111"/>
      <c r="F46" s="112"/>
      <c r="G46" s="112"/>
      <c r="H46" s="111"/>
      <c r="I46" s="112"/>
      <c r="J46" s="112"/>
      <c r="K46" s="111"/>
      <c r="L46" s="112"/>
      <c r="M46" s="112"/>
      <c r="N46" s="111"/>
      <c r="O46" s="112"/>
      <c r="P46" s="112"/>
      <c r="Q46" s="111"/>
      <c r="R46" s="112"/>
      <c r="S46" s="112"/>
    </row>
    <row r="47" spans="1:19" ht="12.75">
      <c r="A47" s="97" t="s">
        <v>39</v>
      </c>
      <c r="B47" s="111">
        <v>328</v>
      </c>
      <c r="C47" s="112">
        <v>415</v>
      </c>
      <c r="D47" s="112">
        <f>SUM(B47:C47)</f>
        <v>743</v>
      </c>
      <c r="E47" s="111">
        <v>219</v>
      </c>
      <c r="F47" s="112">
        <v>304</v>
      </c>
      <c r="G47" s="112">
        <f>SUM(E47:F47)</f>
        <v>523</v>
      </c>
      <c r="H47" s="111">
        <v>208</v>
      </c>
      <c r="I47" s="112">
        <v>746</v>
      </c>
      <c r="J47" s="112">
        <f>SUM(H47:I47)</f>
        <v>954</v>
      </c>
      <c r="K47" s="113">
        <v>965</v>
      </c>
      <c r="L47" s="112">
        <v>972</v>
      </c>
      <c r="M47" s="112">
        <f>SUM(K47:L47)</f>
        <v>1937</v>
      </c>
      <c r="N47" s="111">
        <f>SUM(B47,H47)</f>
        <v>536</v>
      </c>
      <c r="O47" s="112">
        <f>SUM(C47,I47)</f>
        <v>1161</v>
      </c>
      <c r="P47" s="112">
        <f aca="true" t="shared" si="10" ref="P47:S48">SUM(D47,J47)</f>
        <v>1697</v>
      </c>
      <c r="Q47" s="111">
        <f t="shared" si="10"/>
        <v>1184</v>
      </c>
      <c r="R47" s="112">
        <f t="shared" si="10"/>
        <v>1276</v>
      </c>
      <c r="S47" s="112">
        <f t="shared" si="10"/>
        <v>2460</v>
      </c>
    </row>
    <row r="48" spans="1:19" ht="12.75">
      <c r="A48" s="97" t="s">
        <v>48</v>
      </c>
      <c r="B48" s="111">
        <v>502</v>
      </c>
      <c r="C48" s="112">
        <v>669</v>
      </c>
      <c r="D48" s="112">
        <f>SUM(B48:C48)</f>
        <v>1171</v>
      </c>
      <c r="E48" s="111">
        <v>200</v>
      </c>
      <c r="F48" s="112">
        <v>325</v>
      </c>
      <c r="G48" s="112">
        <f>SUM(E48:F48)</f>
        <v>525</v>
      </c>
      <c r="H48" s="111">
        <v>263</v>
      </c>
      <c r="I48" s="112">
        <v>871</v>
      </c>
      <c r="J48" s="112">
        <f>SUM(H48:I48)</f>
        <v>1134</v>
      </c>
      <c r="K48" s="113">
        <v>886</v>
      </c>
      <c r="L48" s="112">
        <v>1145</v>
      </c>
      <c r="M48" s="112">
        <f>SUM(K48:L48)</f>
        <v>2031</v>
      </c>
      <c r="N48" s="111">
        <f>SUM(B48,H48)</f>
        <v>765</v>
      </c>
      <c r="O48" s="112">
        <f>SUM(C48,I48)</f>
        <v>1540</v>
      </c>
      <c r="P48" s="112">
        <f t="shared" si="10"/>
        <v>2305</v>
      </c>
      <c r="Q48" s="111">
        <f t="shared" si="10"/>
        <v>1086</v>
      </c>
      <c r="R48" s="112">
        <f t="shared" si="10"/>
        <v>1470</v>
      </c>
      <c r="S48" s="112">
        <f t="shared" si="10"/>
        <v>2556</v>
      </c>
    </row>
    <row r="49" spans="1:19" ht="12.75">
      <c r="A49" s="97" t="s">
        <v>56</v>
      </c>
      <c r="B49" s="111">
        <v>604</v>
      </c>
      <c r="C49" s="112">
        <v>862</v>
      </c>
      <c r="D49" s="112">
        <f>SUM(B49:C49)</f>
        <v>1466</v>
      </c>
      <c r="E49" s="111">
        <v>185</v>
      </c>
      <c r="F49" s="112">
        <v>272</v>
      </c>
      <c r="G49" s="112">
        <f>SUM(E49:F49)</f>
        <v>457</v>
      </c>
      <c r="H49" s="111">
        <v>357</v>
      </c>
      <c r="I49" s="112">
        <v>1117</v>
      </c>
      <c r="J49" s="112">
        <f>SUM(H49:I49)</f>
        <v>1474</v>
      </c>
      <c r="K49" s="113">
        <v>844</v>
      </c>
      <c r="L49" s="112">
        <v>1168</v>
      </c>
      <c r="M49" s="112">
        <f>SUM(K49:L49)</f>
        <v>2012</v>
      </c>
      <c r="N49" s="111">
        <f aca="true" t="shared" si="11" ref="N49:S49">SUM(B49,H49)</f>
        <v>961</v>
      </c>
      <c r="O49" s="112">
        <f t="shared" si="11"/>
        <v>1979</v>
      </c>
      <c r="P49" s="112">
        <f t="shared" si="11"/>
        <v>2940</v>
      </c>
      <c r="Q49" s="111">
        <f t="shared" si="11"/>
        <v>1029</v>
      </c>
      <c r="R49" s="112">
        <f t="shared" si="11"/>
        <v>1440</v>
      </c>
      <c r="S49" s="112">
        <f t="shared" si="11"/>
        <v>2469</v>
      </c>
    </row>
    <row r="50" spans="1:19" ht="12.75">
      <c r="A50" s="97" t="s">
        <v>86</v>
      </c>
      <c r="B50" s="111">
        <v>667</v>
      </c>
      <c r="C50" s="112">
        <v>951</v>
      </c>
      <c r="D50" s="112">
        <f>SUM(B50:C50)</f>
        <v>1618</v>
      </c>
      <c r="E50" s="111">
        <v>173</v>
      </c>
      <c r="F50" s="112">
        <v>260</v>
      </c>
      <c r="G50" s="112">
        <f>SUM(E50:F50)</f>
        <v>433</v>
      </c>
      <c r="H50" s="111">
        <v>367</v>
      </c>
      <c r="I50" s="112">
        <v>1233</v>
      </c>
      <c r="J50" s="112">
        <f>SUM(H50:I50)</f>
        <v>1600</v>
      </c>
      <c r="K50" s="113">
        <v>787</v>
      </c>
      <c r="L50" s="112">
        <v>1126</v>
      </c>
      <c r="M50" s="112">
        <f>SUM(K50:L50)</f>
        <v>1913</v>
      </c>
      <c r="N50" s="111">
        <f aca="true" t="shared" si="12" ref="N50:S50">SUM(B50,H50)</f>
        <v>1034</v>
      </c>
      <c r="O50" s="112">
        <f t="shared" si="12"/>
        <v>2184</v>
      </c>
      <c r="P50" s="112">
        <f t="shared" si="12"/>
        <v>3218</v>
      </c>
      <c r="Q50" s="111">
        <f t="shared" si="12"/>
        <v>960</v>
      </c>
      <c r="R50" s="112">
        <f t="shared" si="12"/>
        <v>1386</v>
      </c>
      <c r="S50" s="112">
        <f t="shared" si="12"/>
        <v>2346</v>
      </c>
    </row>
    <row r="51" spans="1:19" ht="14.25" customHeight="1">
      <c r="A51" s="97"/>
      <c r="B51" s="111"/>
      <c r="C51" s="112"/>
      <c r="D51" s="112"/>
      <c r="E51" s="111"/>
      <c r="F51" s="112"/>
      <c r="G51" s="112"/>
      <c r="H51" s="111"/>
      <c r="I51" s="112"/>
      <c r="J51" s="112"/>
      <c r="K51" s="111"/>
      <c r="L51" s="112"/>
      <c r="M51" s="112"/>
      <c r="N51" s="111"/>
      <c r="O51" s="112"/>
      <c r="P51" s="112"/>
      <c r="Q51" s="111"/>
      <c r="R51" s="112"/>
      <c r="S51" s="112"/>
    </row>
    <row r="52" spans="1:19" ht="12.75">
      <c r="A52" s="1" t="s">
        <v>62</v>
      </c>
      <c r="B52" s="111"/>
      <c r="C52" s="112"/>
      <c r="D52" s="112"/>
      <c r="E52" s="111"/>
      <c r="F52" s="112"/>
      <c r="G52" s="112"/>
      <c r="H52" s="111"/>
      <c r="I52" s="112"/>
      <c r="J52" s="112"/>
      <c r="K52" s="111"/>
      <c r="L52" s="112"/>
      <c r="M52" s="112"/>
      <c r="N52" s="111"/>
      <c r="O52" s="112"/>
      <c r="P52" s="112"/>
      <c r="Q52" s="111"/>
      <c r="R52" s="112"/>
      <c r="S52" s="112"/>
    </row>
    <row r="53" spans="1:19" ht="12.75">
      <c r="A53" s="97" t="s">
        <v>39</v>
      </c>
      <c r="B53" s="111">
        <v>76</v>
      </c>
      <c r="C53" s="112">
        <v>50</v>
      </c>
      <c r="D53" s="112">
        <f>SUM(B53:C53)</f>
        <v>126</v>
      </c>
      <c r="E53" s="111">
        <v>34</v>
      </c>
      <c r="F53" s="112">
        <v>28</v>
      </c>
      <c r="G53" s="112">
        <f>SUM(E53:F53)</f>
        <v>62</v>
      </c>
      <c r="H53" s="111">
        <v>59</v>
      </c>
      <c r="I53" s="112">
        <v>78</v>
      </c>
      <c r="J53" s="112">
        <f>SUM(H53:I53)</f>
        <v>137</v>
      </c>
      <c r="K53" s="113">
        <v>608</v>
      </c>
      <c r="L53" s="112">
        <v>266</v>
      </c>
      <c r="M53" s="112">
        <f>SUM(K53:L53)</f>
        <v>874</v>
      </c>
      <c r="N53" s="111">
        <f aca="true" t="shared" si="13" ref="N53:S55">SUM(B53,H53)</f>
        <v>135</v>
      </c>
      <c r="O53" s="112">
        <f t="shared" si="13"/>
        <v>128</v>
      </c>
      <c r="P53" s="112">
        <f t="shared" si="13"/>
        <v>263</v>
      </c>
      <c r="Q53" s="111">
        <f t="shared" si="13"/>
        <v>642</v>
      </c>
      <c r="R53" s="112">
        <f t="shared" si="13"/>
        <v>294</v>
      </c>
      <c r="S53" s="112">
        <f t="shared" si="13"/>
        <v>936</v>
      </c>
    </row>
    <row r="54" spans="1:19" ht="12.75">
      <c r="A54" s="97" t="s">
        <v>48</v>
      </c>
      <c r="B54" s="111">
        <v>108</v>
      </c>
      <c r="C54" s="112">
        <v>75</v>
      </c>
      <c r="D54" s="112">
        <f>SUM(B54:C54)</f>
        <v>183</v>
      </c>
      <c r="E54" s="111">
        <v>38</v>
      </c>
      <c r="F54" s="112">
        <v>36</v>
      </c>
      <c r="G54" s="112">
        <f>SUM(E54:F54)</f>
        <v>74</v>
      </c>
      <c r="H54" s="111">
        <v>63</v>
      </c>
      <c r="I54" s="112">
        <v>111</v>
      </c>
      <c r="J54" s="112">
        <f>SUM(H54:I54)</f>
        <v>174</v>
      </c>
      <c r="K54" s="113">
        <v>606</v>
      </c>
      <c r="L54" s="112">
        <v>250</v>
      </c>
      <c r="M54" s="112">
        <f>SUM(K54:L54)</f>
        <v>856</v>
      </c>
      <c r="N54" s="111">
        <f t="shared" si="13"/>
        <v>171</v>
      </c>
      <c r="O54" s="112">
        <f t="shared" si="13"/>
        <v>186</v>
      </c>
      <c r="P54" s="112">
        <f t="shared" si="13"/>
        <v>357</v>
      </c>
      <c r="Q54" s="111">
        <f t="shared" si="13"/>
        <v>644</v>
      </c>
      <c r="R54" s="112">
        <f t="shared" si="13"/>
        <v>286</v>
      </c>
      <c r="S54" s="112">
        <f t="shared" si="13"/>
        <v>930</v>
      </c>
    </row>
    <row r="55" spans="1:19" ht="12.75">
      <c r="A55" s="97" t="s">
        <v>56</v>
      </c>
      <c r="B55" s="111">
        <v>142</v>
      </c>
      <c r="C55" s="112">
        <v>99</v>
      </c>
      <c r="D55" s="112">
        <f>SUM(B55:C55)</f>
        <v>241</v>
      </c>
      <c r="E55" s="111">
        <v>30</v>
      </c>
      <c r="F55" s="112">
        <v>34</v>
      </c>
      <c r="G55" s="112">
        <f>SUM(E55:F55)</f>
        <v>64</v>
      </c>
      <c r="H55" s="111">
        <v>76</v>
      </c>
      <c r="I55" s="112">
        <v>122</v>
      </c>
      <c r="J55" s="112">
        <f>SUM(H55:I55)</f>
        <v>198</v>
      </c>
      <c r="K55" s="113">
        <v>484</v>
      </c>
      <c r="L55" s="112">
        <v>246</v>
      </c>
      <c r="M55" s="112">
        <f>SUM(K55:L55)</f>
        <v>730</v>
      </c>
      <c r="N55" s="111">
        <f t="shared" si="13"/>
        <v>218</v>
      </c>
      <c r="O55" s="112">
        <f t="shared" si="13"/>
        <v>221</v>
      </c>
      <c r="P55" s="112">
        <f t="shared" si="13"/>
        <v>439</v>
      </c>
      <c r="Q55" s="111">
        <f t="shared" si="13"/>
        <v>514</v>
      </c>
      <c r="R55" s="112">
        <f t="shared" si="13"/>
        <v>280</v>
      </c>
      <c r="S55" s="112">
        <f t="shared" si="13"/>
        <v>794</v>
      </c>
    </row>
    <row r="56" spans="1:19" ht="12.75">
      <c r="A56" s="97" t="s">
        <v>86</v>
      </c>
      <c r="B56" s="111">
        <v>152</v>
      </c>
      <c r="C56" s="112">
        <v>123</v>
      </c>
      <c r="D56" s="112">
        <f>SUM(B56:C56)</f>
        <v>275</v>
      </c>
      <c r="E56" s="111">
        <v>36</v>
      </c>
      <c r="F56" s="112">
        <v>52</v>
      </c>
      <c r="G56" s="112">
        <f>SUM(E56:F56)</f>
        <v>88</v>
      </c>
      <c r="H56" s="111">
        <v>94</v>
      </c>
      <c r="I56" s="112">
        <v>131</v>
      </c>
      <c r="J56" s="112">
        <f>SUM(H56:I56)</f>
        <v>225</v>
      </c>
      <c r="K56" s="113">
        <v>445</v>
      </c>
      <c r="L56" s="112">
        <v>220</v>
      </c>
      <c r="M56" s="112">
        <f>SUM(K56:L56)</f>
        <v>665</v>
      </c>
      <c r="N56" s="111">
        <f aca="true" t="shared" si="14" ref="N56:S56">SUM(B56,H56)</f>
        <v>246</v>
      </c>
      <c r="O56" s="112">
        <f t="shared" si="14"/>
        <v>254</v>
      </c>
      <c r="P56" s="112">
        <f t="shared" si="14"/>
        <v>500</v>
      </c>
      <c r="Q56" s="111">
        <f t="shared" si="14"/>
        <v>481</v>
      </c>
      <c r="R56" s="112">
        <f t="shared" si="14"/>
        <v>272</v>
      </c>
      <c r="S56" s="112">
        <f t="shared" si="14"/>
        <v>753</v>
      </c>
    </row>
    <row r="57" spans="1:19" ht="15.75" customHeight="1">
      <c r="A57" s="97"/>
      <c r="B57" s="111"/>
      <c r="C57" s="112"/>
      <c r="D57" s="112"/>
      <c r="E57" s="111"/>
      <c r="F57" s="112"/>
      <c r="G57" s="112"/>
      <c r="H57" s="111"/>
      <c r="I57" s="112"/>
      <c r="J57" s="112"/>
      <c r="K57" s="111"/>
      <c r="L57" s="112"/>
      <c r="M57" s="112"/>
      <c r="N57" s="111"/>
      <c r="O57" s="112"/>
      <c r="P57" s="112"/>
      <c r="Q57" s="111"/>
      <c r="R57" s="112"/>
      <c r="S57" s="112"/>
    </row>
    <row r="58" spans="1:19" ht="12.75">
      <c r="A58" s="96" t="s">
        <v>15</v>
      </c>
      <c r="B58" s="111"/>
      <c r="C58" s="112"/>
      <c r="D58" s="112"/>
      <c r="E58" s="111"/>
      <c r="F58" s="112"/>
      <c r="G58" s="112"/>
      <c r="H58" s="111"/>
      <c r="I58" s="112"/>
      <c r="J58" s="112"/>
      <c r="K58" s="111"/>
      <c r="L58" s="112"/>
      <c r="M58" s="112"/>
      <c r="N58" s="111"/>
      <c r="O58" s="112"/>
      <c r="P58" s="112"/>
      <c r="Q58" s="111"/>
      <c r="R58" s="112"/>
      <c r="S58" s="112"/>
    </row>
    <row r="59" spans="1:19" ht="12.75">
      <c r="A59" s="97" t="s">
        <v>39</v>
      </c>
      <c r="B59" s="111">
        <v>894</v>
      </c>
      <c r="C59" s="112">
        <v>578</v>
      </c>
      <c r="D59" s="112">
        <f>SUM(B59:C59)</f>
        <v>1472</v>
      </c>
      <c r="E59" s="111">
        <v>42</v>
      </c>
      <c r="F59" s="112">
        <v>56</v>
      </c>
      <c r="G59" s="112">
        <f>SUM(E59:F59)</f>
        <v>98</v>
      </c>
      <c r="H59" s="111">
        <v>577</v>
      </c>
      <c r="I59" s="112">
        <v>997</v>
      </c>
      <c r="J59" s="112">
        <f>SUM(H59:I59)</f>
        <v>1574</v>
      </c>
      <c r="K59" s="113">
        <v>392</v>
      </c>
      <c r="L59" s="112">
        <v>579</v>
      </c>
      <c r="M59" s="112">
        <f>SUM(K59:L59)</f>
        <v>971</v>
      </c>
      <c r="N59" s="111">
        <f aca="true" t="shared" si="15" ref="N59:S61">SUM(B59,H59)</f>
        <v>1471</v>
      </c>
      <c r="O59" s="112">
        <f t="shared" si="15"/>
        <v>1575</v>
      </c>
      <c r="P59" s="112">
        <f t="shared" si="15"/>
        <v>3046</v>
      </c>
      <c r="Q59" s="111">
        <f t="shared" si="15"/>
        <v>434</v>
      </c>
      <c r="R59" s="112">
        <f>SUM(F59,L59)</f>
        <v>635</v>
      </c>
      <c r="S59" s="112">
        <f>SUM(G59,M59)</f>
        <v>1069</v>
      </c>
    </row>
    <row r="60" spans="1:19" ht="12.75">
      <c r="A60" s="97" t="s">
        <v>48</v>
      </c>
      <c r="B60" s="111">
        <v>916</v>
      </c>
      <c r="C60" s="112">
        <v>612</v>
      </c>
      <c r="D60" s="112">
        <f>SUM(B60:C60)</f>
        <v>1528</v>
      </c>
      <c r="E60" s="111">
        <v>71</v>
      </c>
      <c r="F60" s="112">
        <v>88</v>
      </c>
      <c r="G60" s="112">
        <f>SUM(E60:F60)</f>
        <v>159</v>
      </c>
      <c r="H60" s="111">
        <v>573</v>
      </c>
      <c r="I60" s="112">
        <v>1072</v>
      </c>
      <c r="J60" s="112">
        <f>SUM(H60:I60)</f>
        <v>1645</v>
      </c>
      <c r="K60" s="113">
        <v>482</v>
      </c>
      <c r="L60" s="112">
        <v>732</v>
      </c>
      <c r="M60" s="112">
        <f>SUM(K60:L60)</f>
        <v>1214</v>
      </c>
      <c r="N60" s="111">
        <f t="shared" si="15"/>
        <v>1489</v>
      </c>
      <c r="O60" s="112">
        <f t="shared" si="15"/>
        <v>1684</v>
      </c>
      <c r="P60" s="112">
        <f t="shared" si="15"/>
        <v>3173</v>
      </c>
      <c r="Q60" s="111">
        <f t="shared" si="15"/>
        <v>553</v>
      </c>
      <c r="R60" s="112">
        <f>SUM(F60,L60)</f>
        <v>820</v>
      </c>
      <c r="S60" s="112">
        <f>SUM(G60,M60)</f>
        <v>1373</v>
      </c>
    </row>
    <row r="61" spans="1:19" ht="12.75">
      <c r="A61" s="97" t="s">
        <v>56</v>
      </c>
      <c r="B61" s="111">
        <v>939</v>
      </c>
      <c r="C61" s="112">
        <v>708</v>
      </c>
      <c r="D61" s="112">
        <f>SUM(B61:C61)</f>
        <v>1647</v>
      </c>
      <c r="E61" s="111">
        <v>95</v>
      </c>
      <c r="F61" s="112">
        <v>99</v>
      </c>
      <c r="G61" s="112">
        <f>SUM(E61:F61)</f>
        <v>194</v>
      </c>
      <c r="H61" s="111">
        <v>573</v>
      </c>
      <c r="I61" s="112">
        <v>1119</v>
      </c>
      <c r="J61" s="112">
        <f>SUM(H61:I61)</f>
        <v>1692</v>
      </c>
      <c r="K61" s="113">
        <v>622</v>
      </c>
      <c r="L61" s="112">
        <v>845</v>
      </c>
      <c r="M61" s="112">
        <f>SUM(K61:L61)</f>
        <v>1467</v>
      </c>
      <c r="N61" s="111">
        <f t="shared" si="15"/>
        <v>1512</v>
      </c>
      <c r="O61" s="112">
        <f t="shared" si="15"/>
        <v>1827</v>
      </c>
      <c r="P61" s="112">
        <f t="shared" si="15"/>
        <v>3339</v>
      </c>
      <c r="Q61" s="111">
        <f t="shared" si="15"/>
        <v>717</v>
      </c>
      <c r="R61" s="112">
        <f t="shared" si="15"/>
        <v>944</v>
      </c>
      <c r="S61" s="112">
        <f t="shared" si="15"/>
        <v>1661</v>
      </c>
    </row>
    <row r="62" spans="1:19" ht="12.75">
      <c r="A62" s="97" t="s">
        <v>86</v>
      </c>
      <c r="B62" s="111">
        <v>924</v>
      </c>
      <c r="C62" s="112">
        <v>778</v>
      </c>
      <c r="D62" s="112">
        <f>SUM(B62:C62)</f>
        <v>1702</v>
      </c>
      <c r="E62" s="111">
        <v>89</v>
      </c>
      <c r="F62" s="112">
        <v>69</v>
      </c>
      <c r="G62" s="112">
        <f>SUM(E62:F62)</f>
        <v>158</v>
      </c>
      <c r="H62" s="111">
        <v>622</v>
      </c>
      <c r="I62" s="112">
        <v>1251</v>
      </c>
      <c r="J62" s="112">
        <f>SUM(H62:I62)</f>
        <v>1873</v>
      </c>
      <c r="K62" s="113">
        <v>647</v>
      </c>
      <c r="L62" s="112">
        <v>901</v>
      </c>
      <c r="M62" s="112">
        <f>SUM(K62:L62)</f>
        <v>1548</v>
      </c>
      <c r="N62" s="111">
        <f aca="true" t="shared" si="16" ref="N62:S62">SUM(B62,H62)</f>
        <v>1546</v>
      </c>
      <c r="O62" s="112">
        <f t="shared" si="16"/>
        <v>2029</v>
      </c>
      <c r="P62" s="112">
        <f t="shared" si="16"/>
        <v>3575</v>
      </c>
      <c r="Q62" s="111">
        <f t="shared" si="16"/>
        <v>736</v>
      </c>
      <c r="R62" s="112">
        <f t="shared" si="16"/>
        <v>970</v>
      </c>
      <c r="S62" s="112">
        <f t="shared" si="16"/>
        <v>1706</v>
      </c>
    </row>
    <row r="64" ht="12.75">
      <c r="A64" s="99" t="s">
        <v>49</v>
      </c>
    </row>
    <row r="65" ht="12.75">
      <c r="A65" s="243" t="s">
        <v>116</v>
      </c>
    </row>
  </sheetData>
  <printOptions horizontalCentered="1"/>
  <pageMargins left="0.3937007874015748" right="0.3937007874015748" top="0.3937007874015748" bottom="0.3937007874015748" header="0.5118110236220472" footer="0.5118110236220472"/>
  <pageSetup fitToHeight="1" fitToWidth="1" orientation="landscape" paperSize="9" scale="66"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Vlaamse Gemeenschap</dc:creator>
  <cp:keywords/>
  <dc:description/>
  <cp:lastModifiedBy>Geert Vermeulen</cp:lastModifiedBy>
  <cp:lastPrinted>2010-09-10T14:01:00Z</cp:lastPrinted>
  <dcterms:created xsi:type="dcterms:W3CDTF">1999-11-09T10:39:11Z</dcterms:created>
  <dcterms:modified xsi:type="dcterms:W3CDTF">2011-03-14T13:10:18Z</dcterms:modified>
  <cp:category/>
  <cp:version/>
  <cp:contentType/>
  <cp:contentStatus/>
</cp:coreProperties>
</file>