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81" activeTab="0"/>
  </bookViews>
  <sheets>
    <sheet name="INHOUD" sheetId="1" r:id="rId1"/>
    <sheet name="11PSEC01" sheetId="2" r:id="rId2"/>
    <sheet name="11PSEC02" sheetId="3" r:id="rId3"/>
    <sheet name="11PSEC03" sheetId="4" r:id="rId4"/>
    <sheet name="11PSEC04" sheetId="5" r:id="rId5"/>
    <sheet name="11PSEC05" sheetId="6" r:id="rId6"/>
    <sheet name="11PSEC06" sheetId="7" r:id="rId7"/>
    <sheet name="11PSEC07" sheetId="8" r:id="rId8"/>
    <sheet name="11PSEC08" sheetId="9" r:id="rId9"/>
    <sheet name="11PSEC09" sheetId="10" r:id="rId10"/>
  </sheets>
  <definedNames>
    <definedName name="_xlnm.Print_Area" localSheetId="1">'11PSEC01'!$A$1:$P$27</definedName>
    <definedName name="_xlnm.Print_Area" localSheetId="2">'11PSEC02'!$A$1:$J$32</definedName>
    <definedName name="_xlnm.Print_Area" localSheetId="4">'11PSEC04'!$A$1:$J$31</definedName>
  </definedNames>
  <calcPr fullCalcOnLoad="1"/>
</workbook>
</file>

<file path=xl/sharedStrings.xml><?xml version="1.0" encoding="utf-8"?>
<sst xmlns="http://schemas.openxmlformats.org/spreadsheetml/2006/main" count="710" uniqueCount="78">
  <si>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</si>
  <si>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</si>
  <si>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</si>
  <si>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</si>
  <si>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</si>
  <si>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</si>
  <si>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</si>
  <si>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</si>
  <si>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</si>
  <si>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</si>
  <si>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</si>
  <si>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</si>
  <si>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</si>
  <si>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</si>
  <si>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</si>
  <si>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</si>
  <si>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</si>
  <si>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</si>
  <si>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</si>
  <si>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</si>
  <si>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</si>
  <si>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</si>
  <si>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</si>
  <si>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</si>
  <si>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</si>
  <si>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</si>
  <si>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</si>
  <si>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</si>
  <si>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</si>
  <si>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</si>
  <si>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</si>
  <si>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</si>
  <si>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</si>
  <si>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</si>
  <si>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</si>
  <si>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</si>
  <si>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</si>
  <si>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</si>
  <si>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</si>
  <si>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</si>
  <si>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</si>
  <si>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</si>
  <si>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of een lager diploma dan professionele bachelor of Hoger Onderwijs van het Korte Type.</t>
  </si>
  <si>
    <t>(4) De categorie 'andere' omvat de personeelsleden met een diploma professionele bachelor of Hoger Onderwijs van het Korte Type dat niet 'prof bachelor vr het onderwijs' is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</si>
  <si>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</si>
  <si>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</si>
  <si>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</si>
  <si>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</si>
  <si>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</si>
  <si>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</si>
  <si>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</si>
  <si>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</si>
  <si>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</si>
  <si>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</si>
  <si>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</si>
  <si>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</si>
  <si>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</si>
  <si>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</si>
  <si>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</si>
  <si>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</si>
  <si>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Schooljaar 2011-2012</t>
  </si>
  <si>
    <t>Aantal personen (inclusief alle vervangingen, TBS+ en Bonus) - januari 2012</t>
  </si>
  <si>
    <t>Aantal personen  (inclusief alle vervangingen, TBS+ en Bonus) -  januari 2012</t>
  </si>
  <si>
    <t>Aantal personen (inclusief alle vervangingen, TBS+ en Bonus) -  januari 2012</t>
  </si>
  <si>
    <t>Aantal budgettaire fulltime-equivalenten (inclusief alle vervangingen, TBS+ en Bonus) - januari 2012 (5)</t>
  </si>
  <si>
    <t>Aantal budgettaire fulltime-equivalenten (inclusief alle vervangingen, TBS+ en Bonus) - januari 2012 (1)</t>
  </si>
  <si>
    <t>Aantal budgettaire fulltime-equivalenten (inclusief alle vervangingen, TBS+ en Bonus) -  januari 2012 (1)</t>
  </si>
  <si>
    <t>(5) De budgettaire fulltime-equivalenten voor januari 2012 kunnen lager uitvallen dan normaal door een staking.</t>
  </si>
  <si>
    <t>(1) De budgettaire fulltime-equivalenten voor januari 2012 kunnen lager uitvallen dan normaal door een staking.</t>
  </si>
  <si>
    <t>11PSEC01</t>
  </si>
  <si>
    <t>11PSEC02</t>
  </si>
  <si>
    <t>11PSEC03</t>
  </si>
  <si>
    <t>11PSEC04</t>
  </si>
  <si>
    <t>11PSEC05</t>
  </si>
  <si>
    <t>11PSEC06</t>
  </si>
  <si>
    <t>11PSEC07</t>
  </si>
  <si>
    <t>11PSEC08</t>
  </si>
  <si>
    <t>11PSEC09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</si>
</sst>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0" fontId="3" fillId="0" borderId="0" xfId="56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3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14" xfId="57" applyNumberFormat="1" applyFont="1" applyBorder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13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4" xfId="57" applyNumberFormat="1" applyFont="1" applyBorder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164" fontId="3" fillId="0" borderId="15" xfId="54" applyNumberFormat="1" applyFont="1" applyBorder="1">
      <alignment/>
      <protection/>
    </xf>
    <xf numFmtId="164" fontId="3" fillId="0" borderId="16" xfId="54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3" fillId="0" borderId="16" xfId="57" applyNumberFormat="1" applyFont="1" applyBorder="1">
      <alignment/>
      <protection/>
    </xf>
    <xf numFmtId="3" fontId="3" fillId="0" borderId="15" xfId="57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left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3" fillId="0" borderId="0" xfId="61" applyFont="1" applyAlignment="1">
      <alignment/>
    </xf>
    <xf numFmtId="1" fontId="3" fillId="0" borderId="0" xfId="53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1" applyFont="1" applyFill="1" applyAlignment="1">
      <alignment/>
    </xf>
    <xf numFmtId="3" fontId="3" fillId="0" borderId="0" xfId="54" applyNumberFormat="1" applyFont="1" applyFill="1">
      <alignment/>
      <protection/>
    </xf>
    <xf numFmtId="0" fontId="3" fillId="0" borderId="0" xfId="55" applyFill="1">
      <alignment/>
      <protection/>
    </xf>
    <xf numFmtId="0" fontId="8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54" applyNumberFormat="1" applyFont="1" applyFill="1">
      <alignment/>
      <protection/>
    </xf>
    <xf numFmtId="3" fontId="7" fillId="0" borderId="0" xfId="60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/>
    </xf>
    <xf numFmtId="49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 horizontal="center" vertical="top" wrapText="1" shrinkToFit="1"/>
    </xf>
    <xf numFmtId="0" fontId="0" fillId="0" borderId="21" xfId="0" applyFill="1" applyBorder="1" applyAlignment="1">
      <alignment horizontal="center" vertical="top" wrapText="1" shrinkToFit="1"/>
    </xf>
    <xf numFmtId="0" fontId="0" fillId="0" borderId="20" xfId="0" applyFill="1" applyBorder="1" applyAlignment="1">
      <alignment horizontal="center" vertical="top" wrapText="1" shrinkToFit="1"/>
    </xf>
    <xf numFmtId="0" fontId="0" fillId="0" borderId="13" xfId="0" applyFill="1" applyBorder="1" applyAlignment="1">
      <alignment horizontal="center" vertical="top" wrapText="1" shrinkToFit="1"/>
    </xf>
    <xf numFmtId="0" fontId="0" fillId="0" borderId="22" xfId="0" applyFill="1" applyBorder="1" applyAlignment="1">
      <alignment horizontal="center" vertical="top" wrapText="1" shrinkToFit="1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5" xfId="56"/>
    <cellStyle name="Standaard_96PSEC06" xfId="57"/>
    <cellStyle name="Standaard_96PSEC07" xfId="58"/>
    <cellStyle name="Standaard_96PSEC08" xfId="59"/>
    <cellStyle name="Standaard_evo9899" xfId="60"/>
    <cellStyle name="Standaard_Sheet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2.421875" style="193" customWidth="1"/>
    <col min="2" max="16384" width="9.140625" style="193" customWidth="1"/>
  </cols>
  <sheetData>
    <row r="1" ht="15">
      <c r="A1" s="198" t="s">
        <v>52</v>
      </c>
    </row>
    <row r="3" ht="12.75">
      <c r="A3" s="194" t="s">
        <v>50</v>
      </c>
    </row>
    <row r="4" spans="1:2" ht="12.75">
      <c r="A4" s="193" t="s">
        <v>69</v>
      </c>
      <c r="B4" s="193" t="s">
        <v>54</v>
      </c>
    </row>
    <row r="5" spans="1:2" ht="12.75">
      <c r="A5" s="193" t="s">
        <v>70</v>
      </c>
      <c r="B5" s="193" t="s">
        <v>53</v>
      </c>
    </row>
    <row r="6" spans="1:2" ht="12.75">
      <c r="A6" s="193" t="s">
        <v>71</v>
      </c>
      <c r="B6" s="193" t="s">
        <v>55</v>
      </c>
    </row>
    <row r="8" ht="12.75">
      <c r="A8" s="194" t="s">
        <v>51</v>
      </c>
    </row>
    <row r="9" spans="1:2" ht="12.75">
      <c r="A9" s="193" t="s">
        <v>72</v>
      </c>
      <c r="B9" s="193" t="s">
        <v>53</v>
      </c>
    </row>
    <row r="10" spans="1:2" ht="12.75">
      <c r="A10" s="193" t="s">
        <v>73</v>
      </c>
      <c r="B10" s="193" t="s">
        <v>56</v>
      </c>
    </row>
    <row r="11" spans="1:2" ht="12.75">
      <c r="A11" s="193" t="s">
        <v>74</v>
      </c>
      <c r="B11" s="193" t="s">
        <v>57</v>
      </c>
    </row>
    <row r="12" spans="1:2" ht="12.75">
      <c r="A12" s="193" t="s">
        <v>75</v>
      </c>
      <c r="B12" s="193" t="s">
        <v>55</v>
      </c>
    </row>
    <row r="13" spans="1:2" ht="12.75">
      <c r="A13" s="193" t="s">
        <v>76</v>
      </c>
      <c r="B13" s="193" t="s">
        <v>58</v>
      </c>
    </row>
    <row r="14" spans="1:2" ht="12.75">
      <c r="A14" s="193" t="s">
        <v>77</v>
      </c>
      <c r="B14" s="193" t="s">
        <v>59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93" sqref="F93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31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63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30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19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20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21</v>
      </c>
      <c r="B13" s="157">
        <f aca="true" t="shared" si="0" ref="B13:J13">SUM(B36,B52,B68,B84)</f>
        <v>0</v>
      </c>
      <c r="C13" s="145">
        <f t="shared" si="0"/>
        <v>1</v>
      </c>
      <c r="D13" s="145">
        <f t="shared" si="0"/>
        <v>1</v>
      </c>
      <c r="E13" s="157">
        <f t="shared" si="0"/>
        <v>10</v>
      </c>
      <c r="F13" s="145">
        <f t="shared" si="0"/>
        <v>49</v>
      </c>
      <c r="G13" s="145">
        <f t="shared" si="0"/>
        <v>59</v>
      </c>
      <c r="H13" s="157">
        <f t="shared" si="0"/>
        <v>10</v>
      </c>
      <c r="I13" s="145">
        <f t="shared" si="0"/>
        <v>50</v>
      </c>
      <c r="J13" s="145">
        <f t="shared" si="0"/>
        <v>60</v>
      </c>
    </row>
    <row r="14" spans="1:10" ht="12" customHeight="1">
      <c r="A14" s="140" t="s">
        <v>22</v>
      </c>
      <c r="B14" s="157">
        <f aca="true" t="shared" si="1" ref="B14:J14">SUM(B37,B53,B69,B85)</f>
        <v>4</v>
      </c>
      <c r="C14" s="145">
        <f t="shared" si="1"/>
        <v>52</v>
      </c>
      <c r="D14" s="145">
        <f t="shared" si="1"/>
        <v>56</v>
      </c>
      <c r="E14" s="157">
        <f t="shared" si="1"/>
        <v>23</v>
      </c>
      <c r="F14" s="145">
        <f t="shared" si="1"/>
        <v>140</v>
      </c>
      <c r="G14" s="145">
        <f t="shared" si="1"/>
        <v>163</v>
      </c>
      <c r="H14" s="157">
        <f t="shared" si="1"/>
        <v>27</v>
      </c>
      <c r="I14" s="145">
        <f t="shared" si="1"/>
        <v>192</v>
      </c>
      <c r="J14" s="145">
        <f t="shared" si="1"/>
        <v>219</v>
      </c>
    </row>
    <row r="15" spans="1:10" ht="12" customHeight="1">
      <c r="A15" s="140" t="s">
        <v>23</v>
      </c>
      <c r="B15" s="157">
        <f aca="true" t="shared" si="2" ref="B15:J15">SUM(B38,B54,B70,B86)</f>
        <v>23</v>
      </c>
      <c r="C15" s="145">
        <f t="shared" si="2"/>
        <v>114</v>
      </c>
      <c r="D15" s="145">
        <f t="shared" si="2"/>
        <v>137</v>
      </c>
      <c r="E15" s="157">
        <f t="shared" si="2"/>
        <v>13</v>
      </c>
      <c r="F15" s="145">
        <f t="shared" si="2"/>
        <v>68</v>
      </c>
      <c r="G15" s="145">
        <f t="shared" si="2"/>
        <v>81</v>
      </c>
      <c r="H15" s="157">
        <f t="shared" si="2"/>
        <v>36</v>
      </c>
      <c r="I15" s="145">
        <f t="shared" si="2"/>
        <v>182</v>
      </c>
      <c r="J15" s="145">
        <f t="shared" si="2"/>
        <v>218</v>
      </c>
    </row>
    <row r="16" spans="1:10" ht="12" customHeight="1">
      <c r="A16" s="140" t="s">
        <v>24</v>
      </c>
      <c r="B16" s="157">
        <f aca="true" t="shared" si="3" ref="B16:J16">SUM(B39,B55,B71,B87)</f>
        <v>19</v>
      </c>
      <c r="C16" s="145">
        <f t="shared" si="3"/>
        <v>112</v>
      </c>
      <c r="D16" s="145">
        <f t="shared" si="3"/>
        <v>131</v>
      </c>
      <c r="E16" s="157">
        <f t="shared" si="3"/>
        <v>6</v>
      </c>
      <c r="F16" s="145">
        <f t="shared" si="3"/>
        <v>40</v>
      </c>
      <c r="G16" s="145">
        <f t="shared" si="3"/>
        <v>46</v>
      </c>
      <c r="H16" s="157">
        <f t="shared" si="3"/>
        <v>25</v>
      </c>
      <c r="I16" s="145">
        <f t="shared" si="3"/>
        <v>152</v>
      </c>
      <c r="J16" s="145">
        <f t="shared" si="3"/>
        <v>177</v>
      </c>
    </row>
    <row r="17" spans="1:10" ht="12" customHeight="1">
      <c r="A17" s="140" t="s">
        <v>25</v>
      </c>
      <c r="B17" s="157">
        <f aca="true" t="shared" si="4" ref="B17:J17">SUM(B40,B56,B72,B88)</f>
        <v>14</v>
      </c>
      <c r="C17" s="145">
        <f t="shared" si="4"/>
        <v>84</v>
      </c>
      <c r="D17" s="145">
        <f t="shared" si="4"/>
        <v>98</v>
      </c>
      <c r="E17" s="157">
        <f t="shared" si="4"/>
        <v>3</v>
      </c>
      <c r="F17" s="145">
        <f t="shared" si="4"/>
        <v>41</v>
      </c>
      <c r="G17" s="145">
        <f t="shared" si="4"/>
        <v>44</v>
      </c>
      <c r="H17" s="157">
        <f t="shared" si="4"/>
        <v>17</v>
      </c>
      <c r="I17" s="145">
        <f t="shared" si="4"/>
        <v>125</v>
      </c>
      <c r="J17" s="145">
        <f t="shared" si="4"/>
        <v>142</v>
      </c>
    </row>
    <row r="18" spans="1:10" ht="12" customHeight="1">
      <c r="A18" s="140" t="s">
        <v>26</v>
      </c>
      <c r="B18" s="157">
        <f aca="true" t="shared" si="5" ref="B18:J18">SUM(B41,B57,B73,B89)</f>
        <v>13</v>
      </c>
      <c r="C18" s="145">
        <f t="shared" si="5"/>
        <v>88</v>
      </c>
      <c r="D18" s="145">
        <f t="shared" si="5"/>
        <v>101</v>
      </c>
      <c r="E18" s="157">
        <f t="shared" si="5"/>
        <v>0</v>
      </c>
      <c r="F18" s="145">
        <f t="shared" si="5"/>
        <v>22</v>
      </c>
      <c r="G18" s="145">
        <f t="shared" si="5"/>
        <v>22</v>
      </c>
      <c r="H18" s="157">
        <f t="shared" si="5"/>
        <v>13</v>
      </c>
      <c r="I18" s="145">
        <f t="shared" si="5"/>
        <v>110</v>
      </c>
      <c r="J18" s="145">
        <f t="shared" si="5"/>
        <v>123</v>
      </c>
    </row>
    <row r="19" spans="1:10" ht="12" customHeight="1">
      <c r="A19" s="140" t="s">
        <v>27</v>
      </c>
      <c r="B19" s="157">
        <f aca="true" t="shared" si="6" ref="B19:J19">SUM(B42,B58,B74,B90)</f>
        <v>29</v>
      </c>
      <c r="C19" s="145">
        <f t="shared" si="6"/>
        <v>129</v>
      </c>
      <c r="D19" s="145">
        <f t="shared" si="6"/>
        <v>158</v>
      </c>
      <c r="E19" s="157">
        <f t="shared" si="6"/>
        <v>4</v>
      </c>
      <c r="F19" s="145">
        <f t="shared" si="6"/>
        <v>12</v>
      </c>
      <c r="G19" s="145">
        <f t="shared" si="6"/>
        <v>16</v>
      </c>
      <c r="H19" s="157">
        <f t="shared" si="6"/>
        <v>33</v>
      </c>
      <c r="I19" s="145">
        <f t="shared" si="6"/>
        <v>141</v>
      </c>
      <c r="J19" s="145">
        <f t="shared" si="6"/>
        <v>174</v>
      </c>
    </row>
    <row r="20" spans="1:10" ht="12" customHeight="1">
      <c r="A20" s="140" t="s">
        <v>28</v>
      </c>
      <c r="B20" s="157">
        <f aca="true" t="shared" si="7" ref="B20:J20">SUM(B43,B59,B75,B91)</f>
        <v>48</v>
      </c>
      <c r="C20" s="145">
        <f t="shared" si="7"/>
        <v>118</v>
      </c>
      <c r="D20" s="145">
        <f t="shared" si="7"/>
        <v>166</v>
      </c>
      <c r="E20" s="157">
        <f t="shared" si="7"/>
        <v>3</v>
      </c>
      <c r="F20" s="145">
        <f t="shared" si="7"/>
        <v>1</v>
      </c>
      <c r="G20" s="145">
        <f t="shared" si="7"/>
        <v>4</v>
      </c>
      <c r="H20" s="157">
        <f t="shared" si="7"/>
        <v>51</v>
      </c>
      <c r="I20" s="145">
        <f t="shared" si="7"/>
        <v>119</v>
      </c>
      <c r="J20" s="145">
        <f t="shared" si="7"/>
        <v>170</v>
      </c>
    </row>
    <row r="21" spans="1:10" ht="12" customHeight="1">
      <c r="A21" s="140" t="s">
        <v>29</v>
      </c>
      <c r="B21" s="157">
        <f aca="true" t="shared" si="8" ref="B21:J21">SUM(B44,B60,B76,B92)</f>
        <v>14</v>
      </c>
      <c r="C21" s="145">
        <f t="shared" si="8"/>
        <v>30</v>
      </c>
      <c r="D21" s="158">
        <f t="shared" si="8"/>
        <v>44</v>
      </c>
      <c r="E21" s="157">
        <f t="shared" si="8"/>
        <v>0</v>
      </c>
      <c r="F21" s="145">
        <f t="shared" si="8"/>
        <v>2</v>
      </c>
      <c r="G21" s="158">
        <f t="shared" si="8"/>
        <v>2</v>
      </c>
      <c r="H21" s="157">
        <f t="shared" si="8"/>
        <v>14</v>
      </c>
      <c r="I21" s="145">
        <f t="shared" si="8"/>
        <v>32</v>
      </c>
      <c r="J21" s="158">
        <f t="shared" si="8"/>
        <v>46</v>
      </c>
    </row>
    <row r="22" spans="1:10" ht="12" customHeight="1">
      <c r="A22" s="159" t="s">
        <v>5</v>
      </c>
      <c r="B22" s="160">
        <f aca="true" t="shared" si="9" ref="B22:J22">SUM(B45,B61,B77,B93)</f>
        <v>164</v>
      </c>
      <c r="C22" s="161">
        <f t="shared" si="9"/>
        <v>728</v>
      </c>
      <c r="D22" s="161">
        <f t="shared" si="9"/>
        <v>892</v>
      </c>
      <c r="E22" s="160">
        <f t="shared" si="9"/>
        <v>62</v>
      </c>
      <c r="F22" s="161">
        <f t="shared" si="9"/>
        <v>375</v>
      </c>
      <c r="G22" s="161">
        <f t="shared" si="9"/>
        <v>437</v>
      </c>
      <c r="H22" s="160">
        <f t="shared" si="9"/>
        <v>226</v>
      </c>
      <c r="I22" s="161">
        <f t="shared" si="9"/>
        <v>1103</v>
      </c>
      <c r="J22" s="161">
        <f t="shared" si="9"/>
        <v>1329</v>
      </c>
    </row>
    <row r="24" spans="1:10" ht="12" customHeight="1">
      <c r="A24" s="1" t="s">
        <v>60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31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63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30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32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20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21</v>
      </c>
      <c r="B36" s="157">
        <v>0</v>
      </c>
      <c r="C36" s="145">
        <v>1</v>
      </c>
      <c r="D36" s="145">
        <f>SUM(B36:C36)</f>
        <v>1</v>
      </c>
      <c r="E36" s="157">
        <v>3</v>
      </c>
      <c r="F36" s="145">
        <v>20</v>
      </c>
      <c r="G36" s="145">
        <f aca="true" t="shared" si="10" ref="G36:G44">SUM(E36:F36)</f>
        <v>23</v>
      </c>
      <c r="H36" s="157">
        <f>SUM(B36,E36)</f>
        <v>3</v>
      </c>
      <c r="I36" s="145">
        <f>SUM(C36,F36)</f>
        <v>21</v>
      </c>
      <c r="J36" s="145">
        <f aca="true" t="shared" si="11" ref="J36:J44">SUM(H36:I36)</f>
        <v>24</v>
      </c>
    </row>
    <row r="37" spans="1:10" ht="12" customHeight="1">
      <c r="A37" s="140" t="s">
        <v>22</v>
      </c>
      <c r="B37" s="157">
        <v>0</v>
      </c>
      <c r="C37" s="145">
        <v>14</v>
      </c>
      <c r="D37" s="145">
        <f aca="true" t="shared" si="12" ref="D37:D44">SUM(B37:C37)</f>
        <v>14</v>
      </c>
      <c r="E37" s="157">
        <v>7</v>
      </c>
      <c r="F37" s="145">
        <v>35</v>
      </c>
      <c r="G37" s="145">
        <f t="shared" si="10"/>
        <v>42</v>
      </c>
      <c r="H37" s="157">
        <f aca="true" t="shared" si="13" ref="H37:I44">SUM(B37,E37)</f>
        <v>7</v>
      </c>
      <c r="I37" s="145">
        <f t="shared" si="13"/>
        <v>49</v>
      </c>
      <c r="J37" s="145">
        <f t="shared" si="11"/>
        <v>56</v>
      </c>
    </row>
    <row r="38" spans="1:10" ht="12" customHeight="1">
      <c r="A38" s="140" t="s">
        <v>23</v>
      </c>
      <c r="B38" s="157">
        <v>6</v>
      </c>
      <c r="C38" s="145">
        <v>40</v>
      </c>
      <c r="D38" s="145">
        <f t="shared" si="12"/>
        <v>46</v>
      </c>
      <c r="E38" s="157">
        <v>4</v>
      </c>
      <c r="F38" s="145">
        <v>22</v>
      </c>
      <c r="G38" s="145">
        <f t="shared" si="10"/>
        <v>26</v>
      </c>
      <c r="H38" s="157">
        <f t="shared" si="13"/>
        <v>10</v>
      </c>
      <c r="I38" s="145">
        <f t="shared" si="13"/>
        <v>62</v>
      </c>
      <c r="J38" s="145">
        <f t="shared" si="11"/>
        <v>72</v>
      </c>
    </row>
    <row r="39" spans="1:10" ht="12" customHeight="1">
      <c r="A39" s="140" t="s">
        <v>24</v>
      </c>
      <c r="B39" s="155">
        <v>6</v>
      </c>
      <c r="C39" s="145">
        <v>36</v>
      </c>
      <c r="D39" s="145">
        <f t="shared" si="12"/>
        <v>42</v>
      </c>
      <c r="E39" s="157">
        <v>2</v>
      </c>
      <c r="F39" s="145">
        <v>12</v>
      </c>
      <c r="G39" s="145">
        <f t="shared" si="10"/>
        <v>14</v>
      </c>
      <c r="H39" s="157">
        <f t="shared" si="13"/>
        <v>8</v>
      </c>
      <c r="I39" s="145">
        <f t="shared" si="13"/>
        <v>48</v>
      </c>
      <c r="J39" s="145">
        <f t="shared" si="11"/>
        <v>56</v>
      </c>
    </row>
    <row r="40" spans="1:10" ht="12" customHeight="1">
      <c r="A40" s="140" t="s">
        <v>25</v>
      </c>
      <c r="B40" s="155">
        <v>1</v>
      </c>
      <c r="C40" s="145">
        <v>18</v>
      </c>
      <c r="D40" s="145">
        <f t="shared" si="12"/>
        <v>19</v>
      </c>
      <c r="E40" s="157">
        <v>1</v>
      </c>
      <c r="F40" s="145">
        <v>12</v>
      </c>
      <c r="G40" s="145">
        <f t="shared" si="10"/>
        <v>13</v>
      </c>
      <c r="H40" s="157">
        <f t="shared" si="13"/>
        <v>2</v>
      </c>
      <c r="I40" s="145">
        <f t="shared" si="13"/>
        <v>30</v>
      </c>
      <c r="J40" s="145">
        <f t="shared" si="11"/>
        <v>32</v>
      </c>
    </row>
    <row r="41" spans="1:10" ht="12" customHeight="1">
      <c r="A41" s="140" t="s">
        <v>26</v>
      </c>
      <c r="B41" s="155">
        <v>1</v>
      </c>
      <c r="C41" s="145">
        <v>24</v>
      </c>
      <c r="D41" s="145">
        <f t="shared" si="12"/>
        <v>25</v>
      </c>
      <c r="E41" s="157">
        <v>0</v>
      </c>
      <c r="F41" s="145">
        <v>12</v>
      </c>
      <c r="G41" s="145">
        <f t="shared" si="10"/>
        <v>12</v>
      </c>
      <c r="H41" s="157">
        <f t="shared" si="13"/>
        <v>1</v>
      </c>
      <c r="I41" s="145">
        <f t="shared" si="13"/>
        <v>36</v>
      </c>
      <c r="J41" s="145">
        <f t="shared" si="11"/>
        <v>37</v>
      </c>
    </row>
    <row r="42" spans="1:10" ht="12" customHeight="1">
      <c r="A42" s="140" t="s">
        <v>27</v>
      </c>
      <c r="B42" s="155">
        <v>9</v>
      </c>
      <c r="C42" s="145">
        <v>32</v>
      </c>
      <c r="D42" s="145">
        <f t="shared" si="12"/>
        <v>41</v>
      </c>
      <c r="E42" s="157">
        <v>1</v>
      </c>
      <c r="F42" s="145">
        <v>6</v>
      </c>
      <c r="G42" s="145">
        <f t="shared" si="10"/>
        <v>7</v>
      </c>
      <c r="H42" s="157">
        <f t="shared" si="13"/>
        <v>10</v>
      </c>
      <c r="I42" s="145">
        <f t="shared" si="13"/>
        <v>38</v>
      </c>
      <c r="J42" s="145">
        <f t="shared" si="11"/>
        <v>48</v>
      </c>
    </row>
    <row r="43" spans="1:10" ht="12" customHeight="1">
      <c r="A43" s="140" t="s">
        <v>28</v>
      </c>
      <c r="B43" s="155">
        <v>9</v>
      </c>
      <c r="C43" s="145">
        <v>38</v>
      </c>
      <c r="D43" s="145">
        <f t="shared" si="12"/>
        <v>47</v>
      </c>
      <c r="E43" s="157">
        <v>3</v>
      </c>
      <c r="F43" s="145">
        <v>0</v>
      </c>
      <c r="G43" s="145">
        <f t="shared" si="10"/>
        <v>3</v>
      </c>
      <c r="H43" s="157">
        <f t="shared" si="13"/>
        <v>12</v>
      </c>
      <c r="I43" s="145">
        <f t="shared" si="13"/>
        <v>38</v>
      </c>
      <c r="J43" s="145">
        <f t="shared" si="11"/>
        <v>50</v>
      </c>
    </row>
    <row r="44" spans="1:10" ht="12" customHeight="1">
      <c r="A44" s="140" t="s">
        <v>29</v>
      </c>
      <c r="B44" s="155">
        <v>5</v>
      </c>
      <c r="C44" s="145">
        <v>11</v>
      </c>
      <c r="D44" s="158">
        <f t="shared" si="12"/>
        <v>16</v>
      </c>
      <c r="E44" s="157">
        <v>0</v>
      </c>
      <c r="F44" s="145">
        <v>1</v>
      </c>
      <c r="G44" s="158">
        <f t="shared" si="10"/>
        <v>1</v>
      </c>
      <c r="H44" s="157">
        <f t="shared" si="13"/>
        <v>5</v>
      </c>
      <c r="I44" s="145">
        <f t="shared" si="13"/>
        <v>12</v>
      </c>
      <c r="J44" s="158">
        <f t="shared" si="11"/>
        <v>17</v>
      </c>
    </row>
    <row r="45" spans="1:10" ht="12" customHeight="1">
      <c r="A45" s="159" t="s">
        <v>5</v>
      </c>
      <c r="B45" s="160">
        <f>SUM(B36:B44)</f>
        <v>37</v>
      </c>
      <c r="C45" s="161">
        <f aca="true" t="shared" si="14" ref="C45:J45">SUM(C36:C44)</f>
        <v>214</v>
      </c>
      <c r="D45" s="161">
        <f t="shared" si="14"/>
        <v>251</v>
      </c>
      <c r="E45" s="160">
        <f t="shared" si="14"/>
        <v>21</v>
      </c>
      <c r="F45" s="161">
        <f t="shared" si="14"/>
        <v>120</v>
      </c>
      <c r="G45" s="161">
        <f t="shared" si="14"/>
        <v>141</v>
      </c>
      <c r="H45" s="160">
        <f t="shared" si="14"/>
        <v>58</v>
      </c>
      <c r="I45" s="161">
        <f t="shared" si="14"/>
        <v>334</v>
      </c>
      <c r="J45" s="161">
        <f t="shared" si="14"/>
        <v>392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20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21</v>
      </c>
      <c r="B52" s="157">
        <v>0</v>
      </c>
      <c r="C52" s="145">
        <v>0</v>
      </c>
      <c r="D52" s="145">
        <f>SUM(B52:C52)</f>
        <v>0</v>
      </c>
      <c r="E52" s="157">
        <v>4</v>
      </c>
      <c r="F52" s="145">
        <v>25</v>
      </c>
      <c r="G52" s="145">
        <f aca="true" t="shared" si="15" ref="G52:G60">SUM(E52:F52)</f>
        <v>29</v>
      </c>
      <c r="H52" s="157">
        <f>SUM(B52,E52)</f>
        <v>4</v>
      </c>
      <c r="I52" s="145">
        <f>SUM(C52,F52)</f>
        <v>25</v>
      </c>
      <c r="J52" s="145">
        <f aca="true" t="shared" si="16" ref="J52:J60">SUM(H52:I52)</f>
        <v>29</v>
      </c>
    </row>
    <row r="53" spans="1:10" ht="12" customHeight="1">
      <c r="A53" s="140" t="s">
        <v>22</v>
      </c>
      <c r="B53" s="157">
        <v>4</v>
      </c>
      <c r="C53" s="145">
        <v>34</v>
      </c>
      <c r="D53" s="145">
        <f aca="true" t="shared" si="17" ref="D53:D60">SUM(B53:C53)</f>
        <v>38</v>
      </c>
      <c r="E53" s="157">
        <v>13</v>
      </c>
      <c r="F53" s="145">
        <v>88</v>
      </c>
      <c r="G53" s="145">
        <f t="shared" si="15"/>
        <v>101</v>
      </c>
      <c r="H53" s="157">
        <f aca="true" t="shared" si="18" ref="H53:I60">SUM(B53,E53)</f>
        <v>17</v>
      </c>
      <c r="I53" s="145">
        <f t="shared" si="18"/>
        <v>122</v>
      </c>
      <c r="J53" s="145">
        <f t="shared" si="16"/>
        <v>139</v>
      </c>
    </row>
    <row r="54" spans="1:10" ht="12" customHeight="1">
      <c r="A54" s="140" t="s">
        <v>23</v>
      </c>
      <c r="B54" s="157">
        <v>16</v>
      </c>
      <c r="C54" s="145">
        <v>63</v>
      </c>
      <c r="D54" s="145">
        <f t="shared" si="17"/>
        <v>79</v>
      </c>
      <c r="E54" s="157">
        <v>6</v>
      </c>
      <c r="F54" s="145">
        <v>35</v>
      </c>
      <c r="G54" s="145">
        <f t="shared" si="15"/>
        <v>41</v>
      </c>
      <c r="H54" s="157">
        <f t="shared" si="18"/>
        <v>22</v>
      </c>
      <c r="I54" s="145">
        <f t="shared" si="18"/>
        <v>98</v>
      </c>
      <c r="J54" s="145">
        <f t="shared" si="16"/>
        <v>120</v>
      </c>
    </row>
    <row r="55" spans="1:10" ht="12" customHeight="1">
      <c r="A55" s="140" t="s">
        <v>24</v>
      </c>
      <c r="B55" s="155">
        <v>11</v>
      </c>
      <c r="C55" s="145">
        <v>69</v>
      </c>
      <c r="D55" s="145">
        <f t="shared" si="17"/>
        <v>80</v>
      </c>
      <c r="E55" s="155">
        <v>4</v>
      </c>
      <c r="F55" s="145">
        <v>24</v>
      </c>
      <c r="G55" s="145">
        <f t="shared" si="15"/>
        <v>28</v>
      </c>
      <c r="H55" s="157">
        <f t="shared" si="18"/>
        <v>15</v>
      </c>
      <c r="I55" s="145">
        <f t="shared" si="18"/>
        <v>93</v>
      </c>
      <c r="J55" s="145">
        <f t="shared" si="16"/>
        <v>108</v>
      </c>
    </row>
    <row r="56" spans="1:10" ht="12" customHeight="1">
      <c r="A56" s="140" t="s">
        <v>25</v>
      </c>
      <c r="B56" s="155">
        <v>9</v>
      </c>
      <c r="C56" s="145">
        <v>54</v>
      </c>
      <c r="D56" s="145">
        <f t="shared" si="17"/>
        <v>63</v>
      </c>
      <c r="E56" s="155">
        <v>2</v>
      </c>
      <c r="F56" s="145">
        <v>22</v>
      </c>
      <c r="G56" s="145">
        <f t="shared" si="15"/>
        <v>24</v>
      </c>
      <c r="H56" s="157">
        <f t="shared" si="18"/>
        <v>11</v>
      </c>
      <c r="I56" s="145">
        <f t="shared" si="18"/>
        <v>76</v>
      </c>
      <c r="J56" s="145">
        <f t="shared" si="16"/>
        <v>87</v>
      </c>
    </row>
    <row r="57" spans="1:10" ht="12" customHeight="1">
      <c r="A57" s="140" t="s">
        <v>26</v>
      </c>
      <c r="B57" s="155">
        <v>11</v>
      </c>
      <c r="C57" s="145">
        <v>52</v>
      </c>
      <c r="D57" s="145">
        <f t="shared" si="17"/>
        <v>63</v>
      </c>
      <c r="E57" s="155">
        <v>0</v>
      </c>
      <c r="F57" s="145">
        <v>7</v>
      </c>
      <c r="G57" s="145">
        <f t="shared" si="15"/>
        <v>7</v>
      </c>
      <c r="H57" s="157">
        <f t="shared" si="18"/>
        <v>11</v>
      </c>
      <c r="I57" s="145">
        <f t="shared" si="18"/>
        <v>59</v>
      </c>
      <c r="J57" s="145">
        <f t="shared" si="16"/>
        <v>70</v>
      </c>
    </row>
    <row r="58" spans="1:10" ht="12" customHeight="1">
      <c r="A58" s="140" t="s">
        <v>27</v>
      </c>
      <c r="B58" s="155">
        <v>14</v>
      </c>
      <c r="C58" s="145">
        <v>79</v>
      </c>
      <c r="D58" s="145">
        <f t="shared" si="17"/>
        <v>93</v>
      </c>
      <c r="E58" s="155">
        <v>3</v>
      </c>
      <c r="F58" s="145">
        <v>5</v>
      </c>
      <c r="G58" s="145">
        <f t="shared" si="15"/>
        <v>8</v>
      </c>
      <c r="H58" s="157">
        <f t="shared" si="18"/>
        <v>17</v>
      </c>
      <c r="I58" s="145">
        <f t="shared" si="18"/>
        <v>84</v>
      </c>
      <c r="J58" s="145">
        <f t="shared" si="16"/>
        <v>101</v>
      </c>
    </row>
    <row r="59" spans="1:10" ht="12" customHeight="1">
      <c r="A59" s="140" t="s">
        <v>28</v>
      </c>
      <c r="B59" s="155">
        <v>35</v>
      </c>
      <c r="C59" s="145">
        <v>66</v>
      </c>
      <c r="D59" s="145">
        <f t="shared" si="17"/>
        <v>101</v>
      </c>
      <c r="E59" s="155">
        <v>0</v>
      </c>
      <c r="F59" s="145">
        <v>1</v>
      </c>
      <c r="G59" s="145">
        <f t="shared" si="15"/>
        <v>1</v>
      </c>
      <c r="H59" s="157">
        <f t="shared" si="18"/>
        <v>35</v>
      </c>
      <c r="I59" s="145">
        <f t="shared" si="18"/>
        <v>67</v>
      </c>
      <c r="J59" s="145">
        <f t="shared" si="16"/>
        <v>102</v>
      </c>
    </row>
    <row r="60" spans="1:10" ht="12" customHeight="1">
      <c r="A60" s="140" t="s">
        <v>29</v>
      </c>
      <c r="B60" s="155">
        <v>7</v>
      </c>
      <c r="C60" s="145">
        <v>17</v>
      </c>
      <c r="D60" s="158">
        <f t="shared" si="17"/>
        <v>24</v>
      </c>
      <c r="E60" s="155">
        <v>0</v>
      </c>
      <c r="F60" s="145">
        <v>1</v>
      </c>
      <c r="G60" s="158">
        <f t="shared" si="15"/>
        <v>1</v>
      </c>
      <c r="H60" s="157">
        <f t="shared" si="18"/>
        <v>7</v>
      </c>
      <c r="I60" s="145">
        <f t="shared" si="18"/>
        <v>18</v>
      </c>
      <c r="J60" s="158">
        <f t="shared" si="16"/>
        <v>25</v>
      </c>
    </row>
    <row r="61" spans="1:10" ht="12" customHeight="1">
      <c r="A61" s="159" t="s">
        <v>5</v>
      </c>
      <c r="B61" s="160">
        <f>SUM(B52:B60)</f>
        <v>107</v>
      </c>
      <c r="C61" s="161">
        <f aca="true" t="shared" si="19" ref="C61:J61">SUM(C52:C60)</f>
        <v>434</v>
      </c>
      <c r="D61" s="161">
        <f t="shared" si="19"/>
        <v>541</v>
      </c>
      <c r="E61" s="160">
        <f t="shared" si="19"/>
        <v>32</v>
      </c>
      <c r="F61" s="161">
        <f t="shared" si="19"/>
        <v>208</v>
      </c>
      <c r="G61" s="161">
        <f t="shared" si="19"/>
        <v>240</v>
      </c>
      <c r="H61" s="160">
        <f t="shared" si="19"/>
        <v>139</v>
      </c>
      <c r="I61" s="161">
        <f t="shared" si="19"/>
        <v>642</v>
      </c>
      <c r="J61" s="161">
        <f t="shared" si="19"/>
        <v>781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20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21</v>
      </c>
      <c r="B68" s="157">
        <v>0</v>
      </c>
      <c r="C68" s="145">
        <v>0</v>
      </c>
      <c r="D68" s="145">
        <f>SUM(B68:C68)</f>
        <v>0</v>
      </c>
      <c r="E68" s="157">
        <v>1</v>
      </c>
      <c r="F68" s="145">
        <v>0</v>
      </c>
      <c r="G68" s="145">
        <f aca="true" t="shared" si="20" ref="G68:G76">SUM(E68:F68)</f>
        <v>1</v>
      </c>
      <c r="H68" s="157">
        <f>SUM(B68,E68)</f>
        <v>1</v>
      </c>
      <c r="I68" s="145">
        <f>SUM(C68,F68)</f>
        <v>0</v>
      </c>
      <c r="J68" s="145">
        <f aca="true" t="shared" si="21" ref="J68:J76">SUM(H68:I68)</f>
        <v>1</v>
      </c>
    </row>
    <row r="69" spans="1:10" ht="12" customHeight="1">
      <c r="A69" s="140" t="s">
        <v>22</v>
      </c>
      <c r="B69" s="157">
        <v>0</v>
      </c>
      <c r="C69" s="145">
        <v>0</v>
      </c>
      <c r="D69" s="145">
        <f aca="true" t="shared" si="22" ref="D69:D76">SUM(B69:C69)</f>
        <v>0</v>
      </c>
      <c r="E69" s="157">
        <v>0</v>
      </c>
      <c r="F69" s="145">
        <v>4</v>
      </c>
      <c r="G69" s="145">
        <f t="shared" si="20"/>
        <v>4</v>
      </c>
      <c r="H69" s="157">
        <f aca="true" t="shared" si="23" ref="H69:I76">SUM(B69,E69)</f>
        <v>0</v>
      </c>
      <c r="I69" s="145">
        <f t="shared" si="23"/>
        <v>4</v>
      </c>
      <c r="J69" s="145">
        <f t="shared" si="21"/>
        <v>4</v>
      </c>
    </row>
    <row r="70" spans="1:10" ht="12" customHeight="1">
      <c r="A70" s="140" t="s">
        <v>23</v>
      </c>
      <c r="B70" s="157">
        <v>0</v>
      </c>
      <c r="C70" s="145">
        <v>1</v>
      </c>
      <c r="D70" s="145">
        <f t="shared" si="22"/>
        <v>1</v>
      </c>
      <c r="E70" s="157">
        <v>0</v>
      </c>
      <c r="F70" s="145">
        <v>2</v>
      </c>
      <c r="G70" s="145">
        <f t="shared" si="20"/>
        <v>2</v>
      </c>
      <c r="H70" s="157">
        <f t="shared" si="23"/>
        <v>0</v>
      </c>
      <c r="I70" s="145">
        <f t="shared" si="23"/>
        <v>3</v>
      </c>
      <c r="J70" s="145">
        <f t="shared" si="21"/>
        <v>3</v>
      </c>
    </row>
    <row r="71" spans="1:10" ht="12" customHeight="1">
      <c r="A71" s="140" t="s">
        <v>24</v>
      </c>
      <c r="B71" s="155">
        <v>0</v>
      </c>
      <c r="C71" s="145">
        <v>2</v>
      </c>
      <c r="D71" s="145">
        <f t="shared" si="22"/>
        <v>2</v>
      </c>
      <c r="E71" s="157">
        <v>0</v>
      </c>
      <c r="F71" s="145">
        <v>1</v>
      </c>
      <c r="G71" s="145">
        <f t="shared" si="20"/>
        <v>1</v>
      </c>
      <c r="H71" s="157">
        <f t="shared" si="23"/>
        <v>0</v>
      </c>
      <c r="I71" s="145">
        <f t="shared" si="23"/>
        <v>3</v>
      </c>
      <c r="J71" s="145">
        <f t="shared" si="21"/>
        <v>3</v>
      </c>
    </row>
    <row r="72" spans="1:10" ht="12" customHeight="1">
      <c r="A72" s="140" t="s">
        <v>25</v>
      </c>
      <c r="B72" s="155">
        <v>0</v>
      </c>
      <c r="C72" s="145">
        <v>0</v>
      </c>
      <c r="D72" s="145">
        <f t="shared" si="22"/>
        <v>0</v>
      </c>
      <c r="E72" s="157">
        <v>0</v>
      </c>
      <c r="F72" s="145">
        <v>0</v>
      </c>
      <c r="G72" s="145">
        <f t="shared" si="20"/>
        <v>0</v>
      </c>
      <c r="H72" s="157">
        <f t="shared" si="23"/>
        <v>0</v>
      </c>
      <c r="I72" s="145">
        <f t="shared" si="23"/>
        <v>0</v>
      </c>
      <c r="J72" s="145">
        <f t="shared" si="21"/>
        <v>0</v>
      </c>
    </row>
    <row r="73" spans="1:10" ht="12" customHeight="1">
      <c r="A73" s="140" t="s">
        <v>26</v>
      </c>
      <c r="B73" s="155">
        <v>1</v>
      </c>
      <c r="C73" s="145">
        <v>2</v>
      </c>
      <c r="D73" s="145">
        <f t="shared" si="22"/>
        <v>3</v>
      </c>
      <c r="E73" s="157">
        <v>0</v>
      </c>
      <c r="F73" s="145">
        <v>0</v>
      </c>
      <c r="G73" s="145">
        <f t="shared" si="20"/>
        <v>0</v>
      </c>
      <c r="H73" s="157">
        <f t="shared" si="23"/>
        <v>1</v>
      </c>
      <c r="I73" s="145">
        <f t="shared" si="23"/>
        <v>2</v>
      </c>
      <c r="J73" s="145">
        <f t="shared" si="21"/>
        <v>3</v>
      </c>
    </row>
    <row r="74" spans="1:10" ht="12" customHeight="1">
      <c r="A74" s="140" t="s">
        <v>27</v>
      </c>
      <c r="B74" s="155">
        <v>2</v>
      </c>
      <c r="C74" s="145">
        <v>2</v>
      </c>
      <c r="D74" s="145">
        <f t="shared" si="22"/>
        <v>4</v>
      </c>
      <c r="E74" s="157">
        <v>0</v>
      </c>
      <c r="F74" s="145">
        <v>0</v>
      </c>
      <c r="G74" s="145">
        <f t="shared" si="20"/>
        <v>0</v>
      </c>
      <c r="H74" s="157">
        <f t="shared" si="23"/>
        <v>2</v>
      </c>
      <c r="I74" s="145">
        <f t="shared" si="23"/>
        <v>2</v>
      </c>
      <c r="J74" s="145">
        <f t="shared" si="21"/>
        <v>4</v>
      </c>
    </row>
    <row r="75" spans="1:10" ht="12" customHeight="1">
      <c r="A75" s="140" t="s">
        <v>28</v>
      </c>
      <c r="B75" s="155">
        <v>1</v>
      </c>
      <c r="C75" s="145">
        <v>1</v>
      </c>
      <c r="D75" s="145">
        <f t="shared" si="22"/>
        <v>2</v>
      </c>
      <c r="E75" s="157">
        <v>0</v>
      </c>
      <c r="F75" s="145">
        <v>0</v>
      </c>
      <c r="G75" s="145">
        <f t="shared" si="20"/>
        <v>0</v>
      </c>
      <c r="H75" s="157">
        <f t="shared" si="23"/>
        <v>1</v>
      </c>
      <c r="I75" s="145">
        <f t="shared" si="23"/>
        <v>1</v>
      </c>
      <c r="J75" s="145">
        <f t="shared" si="21"/>
        <v>2</v>
      </c>
    </row>
    <row r="76" spans="1:10" ht="12" customHeight="1">
      <c r="A76" s="140" t="s">
        <v>29</v>
      </c>
      <c r="B76" s="155">
        <v>0</v>
      </c>
      <c r="C76" s="145">
        <v>1</v>
      </c>
      <c r="D76" s="158">
        <f t="shared" si="22"/>
        <v>1</v>
      </c>
      <c r="E76" s="157">
        <v>0</v>
      </c>
      <c r="F76" s="145">
        <v>0</v>
      </c>
      <c r="G76" s="158">
        <f t="shared" si="20"/>
        <v>0</v>
      </c>
      <c r="H76" s="157">
        <f t="shared" si="23"/>
        <v>0</v>
      </c>
      <c r="I76" s="145">
        <f t="shared" si="23"/>
        <v>1</v>
      </c>
      <c r="J76" s="158">
        <f t="shared" si="21"/>
        <v>1</v>
      </c>
    </row>
    <row r="77" spans="1:10" ht="12" customHeight="1">
      <c r="A77" s="159" t="s">
        <v>5</v>
      </c>
      <c r="B77" s="160">
        <f>SUM(B68:B76)</f>
        <v>4</v>
      </c>
      <c r="C77" s="161">
        <f aca="true" t="shared" si="24" ref="C77:J77">SUM(C68:C76)</f>
        <v>9</v>
      </c>
      <c r="D77" s="161">
        <f t="shared" si="24"/>
        <v>13</v>
      </c>
      <c r="E77" s="160">
        <f t="shared" si="24"/>
        <v>1</v>
      </c>
      <c r="F77" s="161">
        <f t="shared" si="24"/>
        <v>7</v>
      </c>
      <c r="G77" s="161">
        <f t="shared" si="24"/>
        <v>8</v>
      </c>
      <c r="H77" s="160">
        <f t="shared" si="24"/>
        <v>5</v>
      </c>
      <c r="I77" s="161">
        <f t="shared" si="24"/>
        <v>16</v>
      </c>
      <c r="J77" s="161">
        <f t="shared" si="24"/>
        <v>21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20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21</v>
      </c>
      <c r="B84" s="157">
        <v>0</v>
      </c>
      <c r="C84" s="145">
        <v>0</v>
      </c>
      <c r="D84" s="145">
        <f>SUM(B84:C84)</f>
        <v>0</v>
      </c>
      <c r="E84" s="157">
        <v>2</v>
      </c>
      <c r="F84" s="145">
        <v>4</v>
      </c>
      <c r="G84" s="145">
        <f aca="true" t="shared" si="25" ref="G84:G92">SUM(E84:F84)</f>
        <v>6</v>
      </c>
      <c r="H84" s="157">
        <f>SUM(B84,E84)</f>
        <v>2</v>
      </c>
      <c r="I84" s="145">
        <f>SUM(C84,F84)</f>
        <v>4</v>
      </c>
      <c r="J84" s="145">
        <f aca="true" t="shared" si="26" ref="J84:J92">SUM(H84:I84)</f>
        <v>6</v>
      </c>
    </row>
    <row r="85" spans="1:10" ht="12" customHeight="1">
      <c r="A85" s="140" t="s">
        <v>22</v>
      </c>
      <c r="B85" s="157">
        <v>0</v>
      </c>
      <c r="C85" s="145">
        <v>4</v>
      </c>
      <c r="D85" s="145">
        <f aca="true" t="shared" si="27" ref="D85:D92">SUM(B85:C85)</f>
        <v>4</v>
      </c>
      <c r="E85" s="157">
        <v>3</v>
      </c>
      <c r="F85" s="145">
        <v>13</v>
      </c>
      <c r="G85" s="145">
        <f t="shared" si="25"/>
        <v>16</v>
      </c>
      <c r="H85" s="157">
        <f aca="true" t="shared" si="28" ref="H85:I92">SUM(B85,E85)</f>
        <v>3</v>
      </c>
      <c r="I85" s="145">
        <f t="shared" si="28"/>
        <v>17</v>
      </c>
      <c r="J85" s="145">
        <f t="shared" si="26"/>
        <v>20</v>
      </c>
    </row>
    <row r="86" spans="1:10" ht="12" customHeight="1">
      <c r="A86" s="140" t="s">
        <v>23</v>
      </c>
      <c r="B86" s="157">
        <v>1</v>
      </c>
      <c r="C86" s="145">
        <v>10</v>
      </c>
      <c r="D86" s="145">
        <f t="shared" si="27"/>
        <v>11</v>
      </c>
      <c r="E86" s="157">
        <v>3</v>
      </c>
      <c r="F86" s="145">
        <v>9</v>
      </c>
      <c r="G86" s="145">
        <f t="shared" si="25"/>
        <v>12</v>
      </c>
      <c r="H86" s="157">
        <f t="shared" si="28"/>
        <v>4</v>
      </c>
      <c r="I86" s="145">
        <f t="shared" si="28"/>
        <v>19</v>
      </c>
      <c r="J86" s="145">
        <f t="shared" si="26"/>
        <v>23</v>
      </c>
    </row>
    <row r="87" spans="1:10" ht="12" customHeight="1">
      <c r="A87" s="140" t="s">
        <v>24</v>
      </c>
      <c r="B87" s="155">
        <v>2</v>
      </c>
      <c r="C87" s="145">
        <v>5</v>
      </c>
      <c r="D87" s="145">
        <f t="shared" si="27"/>
        <v>7</v>
      </c>
      <c r="E87" s="157">
        <v>0</v>
      </c>
      <c r="F87" s="145">
        <v>3</v>
      </c>
      <c r="G87" s="145">
        <f t="shared" si="25"/>
        <v>3</v>
      </c>
      <c r="H87" s="157">
        <f t="shared" si="28"/>
        <v>2</v>
      </c>
      <c r="I87" s="145">
        <f t="shared" si="28"/>
        <v>8</v>
      </c>
      <c r="J87" s="145">
        <f t="shared" si="26"/>
        <v>10</v>
      </c>
    </row>
    <row r="88" spans="1:10" ht="12" customHeight="1">
      <c r="A88" s="140" t="s">
        <v>25</v>
      </c>
      <c r="B88" s="155">
        <v>4</v>
      </c>
      <c r="C88" s="145">
        <v>12</v>
      </c>
      <c r="D88" s="145">
        <f t="shared" si="27"/>
        <v>16</v>
      </c>
      <c r="E88" s="157">
        <v>0</v>
      </c>
      <c r="F88" s="145">
        <v>7</v>
      </c>
      <c r="G88" s="145">
        <f t="shared" si="25"/>
        <v>7</v>
      </c>
      <c r="H88" s="157">
        <f t="shared" si="28"/>
        <v>4</v>
      </c>
      <c r="I88" s="145">
        <f t="shared" si="28"/>
        <v>19</v>
      </c>
      <c r="J88" s="145">
        <f t="shared" si="26"/>
        <v>23</v>
      </c>
    </row>
    <row r="89" spans="1:10" ht="12" customHeight="1">
      <c r="A89" s="140" t="s">
        <v>26</v>
      </c>
      <c r="B89" s="155">
        <v>0</v>
      </c>
      <c r="C89" s="145">
        <v>10</v>
      </c>
      <c r="D89" s="145">
        <f t="shared" si="27"/>
        <v>10</v>
      </c>
      <c r="E89" s="157">
        <v>0</v>
      </c>
      <c r="F89" s="145">
        <v>3</v>
      </c>
      <c r="G89" s="145">
        <f t="shared" si="25"/>
        <v>3</v>
      </c>
      <c r="H89" s="157">
        <f t="shared" si="28"/>
        <v>0</v>
      </c>
      <c r="I89" s="145">
        <f t="shared" si="28"/>
        <v>13</v>
      </c>
      <c r="J89" s="145">
        <f t="shared" si="26"/>
        <v>13</v>
      </c>
    </row>
    <row r="90" spans="1:10" ht="12" customHeight="1">
      <c r="A90" s="140" t="s">
        <v>27</v>
      </c>
      <c r="B90" s="155">
        <v>4</v>
      </c>
      <c r="C90" s="145">
        <v>16</v>
      </c>
      <c r="D90" s="145">
        <f t="shared" si="27"/>
        <v>20</v>
      </c>
      <c r="E90" s="157">
        <v>0</v>
      </c>
      <c r="F90" s="145">
        <v>1</v>
      </c>
      <c r="G90" s="145">
        <f t="shared" si="25"/>
        <v>1</v>
      </c>
      <c r="H90" s="157">
        <f t="shared" si="28"/>
        <v>4</v>
      </c>
      <c r="I90" s="145">
        <f t="shared" si="28"/>
        <v>17</v>
      </c>
      <c r="J90" s="145">
        <f t="shared" si="26"/>
        <v>21</v>
      </c>
    </row>
    <row r="91" spans="1:10" ht="12" customHeight="1">
      <c r="A91" s="140" t="s">
        <v>28</v>
      </c>
      <c r="B91" s="155">
        <v>3</v>
      </c>
      <c r="C91" s="145">
        <v>13</v>
      </c>
      <c r="D91" s="145">
        <f t="shared" si="27"/>
        <v>16</v>
      </c>
      <c r="E91" s="157">
        <v>0</v>
      </c>
      <c r="F91" s="145">
        <v>0</v>
      </c>
      <c r="G91" s="145">
        <f t="shared" si="25"/>
        <v>0</v>
      </c>
      <c r="H91" s="157">
        <f t="shared" si="28"/>
        <v>3</v>
      </c>
      <c r="I91" s="145">
        <f t="shared" si="28"/>
        <v>13</v>
      </c>
      <c r="J91" s="145">
        <f t="shared" si="26"/>
        <v>16</v>
      </c>
    </row>
    <row r="92" spans="1:10" ht="12" customHeight="1">
      <c r="A92" s="140" t="s">
        <v>29</v>
      </c>
      <c r="B92" s="155">
        <v>2</v>
      </c>
      <c r="C92" s="145">
        <v>1</v>
      </c>
      <c r="D92" s="158">
        <f t="shared" si="27"/>
        <v>3</v>
      </c>
      <c r="E92" s="157">
        <v>0</v>
      </c>
      <c r="F92" s="145">
        <v>0</v>
      </c>
      <c r="G92" s="158">
        <f t="shared" si="25"/>
        <v>0</v>
      </c>
      <c r="H92" s="157">
        <f t="shared" si="28"/>
        <v>2</v>
      </c>
      <c r="I92" s="145">
        <f t="shared" si="28"/>
        <v>1</v>
      </c>
      <c r="J92" s="158">
        <f t="shared" si="26"/>
        <v>3</v>
      </c>
    </row>
    <row r="93" spans="1:10" ht="12" customHeight="1">
      <c r="A93" s="159" t="s">
        <v>5</v>
      </c>
      <c r="B93" s="160">
        <f>SUM(B84:B92)</f>
        <v>16</v>
      </c>
      <c r="C93" s="161">
        <f aca="true" t="shared" si="29" ref="C93:J93">SUM(C84:C92)</f>
        <v>71</v>
      </c>
      <c r="D93" s="161">
        <f t="shared" si="29"/>
        <v>87</v>
      </c>
      <c r="E93" s="160">
        <f t="shared" si="29"/>
        <v>8</v>
      </c>
      <c r="F93" s="161">
        <f t="shared" si="29"/>
        <v>40</v>
      </c>
      <c r="G93" s="161">
        <f t="shared" si="29"/>
        <v>48</v>
      </c>
      <c r="H93" s="160">
        <f t="shared" si="29"/>
        <v>24</v>
      </c>
      <c r="I93" s="161">
        <f t="shared" si="29"/>
        <v>111</v>
      </c>
      <c r="J93" s="161">
        <f t="shared" si="29"/>
        <v>135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28125" style="190" customWidth="1"/>
    <col min="2" max="7" width="7.8515625" style="190" customWidth="1"/>
    <col min="8" max="9" width="6.7109375" style="190" customWidth="1"/>
    <col min="10" max="10" width="8.28125" style="190" customWidth="1"/>
    <col min="11" max="13" width="8.421875" style="190" customWidth="1"/>
    <col min="14" max="16384" width="9.140625" style="190" customWidth="1"/>
  </cols>
  <sheetData>
    <row r="1" ht="12.75">
      <c r="A1" s="204" t="s">
        <v>60</v>
      </c>
    </row>
    <row r="2" spans="1:13" ht="12.75">
      <c r="A2" s="205" t="s">
        <v>14</v>
      </c>
      <c r="B2" s="206"/>
      <c r="C2" s="207"/>
      <c r="D2" s="206"/>
      <c r="E2" s="206"/>
      <c r="F2" s="206"/>
      <c r="G2" s="206"/>
      <c r="H2" s="207"/>
      <c r="I2" s="207"/>
      <c r="J2" s="206"/>
      <c r="K2" s="207"/>
      <c r="L2" s="206"/>
      <c r="M2" s="206"/>
    </row>
    <row r="3" spans="1:13" ht="12.75">
      <c r="A3" s="205"/>
      <c r="B3" s="206"/>
      <c r="C3" s="205"/>
      <c r="D3" s="206"/>
      <c r="E3" s="206"/>
      <c r="F3" s="206"/>
      <c r="G3" s="206"/>
      <c r="H3" s="207"/>
      <c r="I3" s="207"/>
      <c r="J3" s="206"/>
      <c r="K3" s="207"/>
      <c r="L3" s="206"/>
      <c r="M3" s="206"/>
    </row>
    <row r="4" spans="1:13" ht="12.75">
      <c r="A4" s="205" t="s">
        <v>64</v>
      </c>
      <c r="B4" s="206"/>
      <c r="C4" s="205"/>
      <c r="D4" s="206"/>
      <c r="E4" s="206"/>
      <c r="F4" s="206"/>
      <c r="G4" s="206"/>
      <c r="H4" s="207"/>
      <c r="I4" s="207"/>
      <c r="J4" s="206"/>
      <c r="K4" s="207"/>
      <c r="L4" s="206"/>
      <c r="M4" s="206"/>
    </row>
    <row r="5" spans="1:13" ht="12.75">
      <c r="A5" s="205"/>
      <c r="B5" s="206"/>
      <c r="C5" s="205"/>
      <c r="D5" s="206"/>
      <c r="E5" s="206"/>
      <c r="F5" s="206"/>
      <c r="G5" s="206"/>
      <c r="H5" s="207"/>
      <c r="I5" s="207"/>
      <c r="J5" s="206"/>
      <c r="K5" s="207"/>
      <c r="L5" s="206"/>
      <c r="M5" s="206"/>
    </row>
    <row r="6" spans="1:13" ht="12.75">
      <c r="A6" s="205" t="s">
        <v>49</v>
      </c>
      <c r="B6" s="206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ht="14.25" customHeight="1" thickBot="1"/>
    <row r="8" spans="1:13" s="209" customFormat="1" ht="12.75">
      <c r="A8" s="208"/>
      <c r="B8" s="222" t="s">
        <v>44</v>
      </c>
      <c r="C8" s="223"/>
      <c r="D8" s="224"/>
      <c r="E8" s="228" t="s">
        <v>45</v>
      </c>
      <c r="F8" s="229"/>
      <c r="G8" s="230"/>
      <c r="H8" s="228" t="s">
        <v>46</v>
      </c>
      <c r="I8" s="229"/>
      <c r="J8" s="230"/>
      <c r="K8" s="228" t="s">
        <v>5</v>
      </c>
      <c r="L8" s="229"/>
      <c r="M8" s="229"/>
    </row>
    <row r="9" spans="1:13" ht="21.75" customHeight="1">
      <c r="A9" s="209"/>
      <c r="B9" s="225"/>
      <c r="C9" s="226"/>
      <c r="D9" s="227"/>
      <c r="E9" s="231"/>
      <c r="F9" s="232"/>
      <c r="G9" s="233"/>
      <c r="H9" s="231"/>
      <c r="I9" s="232"/>
      <c r="J9" s="233"/>
      <c r="K9" s="231"/>
      <c r="L9" s="232"/>
      <c r="M9" s="232"/>
    </row>
    <row r="10" spans="1:13" ht="12.75">
      <c r="A10" s="210"/>
      <c r="B10" s="211" t="s">
        <v>6</v>
      </c>
      <c r="C10" s="212" t="s">
        <v>7</v>
      </c>
      <c r="D10" s="212" t="s">
        <v>5</v>
      </c>
      <c r="E10" s="211" t="s">
        <v>6</v>
      </c>
      <c r="F10" s="212" t="s">
        <v>7</v>
      </c>
      <c r="G10" s="212" t="s">
        <v>5</v>
      </c>
      <c r="H10" s="211" t="s">
        <v>6</v>
      </c>
      <c r="I10" s="212" t="s">
        <v>7</v>
      </c>
      <c r="J10" s="212" t="s">
        <v>5</v>
      </c>
      <c r="K10" s="211" t="s">
        <v>6</v>
      </c>
      <c r="L10" s="212" t="s">
        <v>7</v>
      </c>
      <c r="M10" s="212" t="s">
        <v>5</v>
      </c>
    </row>
    <row r="11" spans="1:13" ht="12.75">
      <c r="A11" s="209"/>
      <c r="B11" s="213"/>
      <c r="C11" s="214"/>
      <c r="D11" s="214"/>
      <c r="E11" s="213"/>
      <c r="F11" s="214"/>
      <c r="G11" s="214"/>
      <c r="H11" s="213"/>
      <c r="I11" s="214"/>
      <c r="J11" s="214"/>
      <c r="K11" s="213"/>
      <c r="L11" s="214"/>
      <c r="M11" s="214"/>
    </row>
    <row r="12" spans="1:13" ht="12.75">
      <c r="A12" s="190" t="s">
        <v>32</v>
      </c>
      <c r="B12" s="215">
        <v>1606</v>
      </c>
      <c r="C12" s="216">
        <v>3114</v>
      </c>
      <c r="D12" s="216">
        <f>SUM(B12:C12)</f>
        <v>4720</v>
      </c>
      <c r="E12" s="215">
        <v>1509</v>
      </c>
      <c r="F12" s="216">
        <v>2329</v>
      </c>
      <c r="G12" s="216">
        <f>SUM(E12:F12)</f>
        <v>3838</v>
      </c>
      <c r="H12" s="217">
        <f aca="true" t="shared" si="0" ref="H12:I15">K12-B12-E12</f>
        <v>1394</v>
      </c>
      <c r="I12" s="216">
        <f t="shared" si="0"/>
        <v>1079</v>
      </c>
      <c r="J12" s="216">
        <f>SUM(H12:I12)</f>
        <v>2473</v>
      </c>
      <c r="K12" s="217">
        <v>4509</v>
      </c>
      <c r="L12" s="216">
        <v>6522</v>
      </c>
      <c r="M12" s="216">
        <f>SUM(K12:L12)</f>
        <v>11031</v>
      </c>
    </row>
    <row r="13" spans="1:13" ht="12.75">
      <c r="A13" s="190" t="s">
        <v>9</v>
      </c>
      <c r="B13" s="215">
        <v>5519</v>
      </c>
      <c r="C13" s="216">
        <v>12303</v>
      </c>
      <c r="D13" s="216">
        <f>SUM(B13:C13)</f>
        <v>17822</v>
      </c>
      <c r="E13" s="215">
        <v>5796</v>
      </c>
      <c r="F13" s="216">
        <v>8914</v>
      </c>
      <c r="G13" s="216">
        <f>SUM(E13:F13)</f>
        <v>14710</v>
      </c>
      <c r="H13" s="217">
        <f t="shared" si="0"/>
        <v>4067</v>
      </c>
      <c r="I13" s="216">
        <f t="shared" si="0"/>
        <v>2194</v>
      </c>
      <c r="J13" s="216">
        <f>SUM(H13:I13)</f>
        <v>6261</v>
      </c>
      <c r="K13" s="217">
        <v>15382</v>
      </c>
      <c r="L13" s="216">
        <v>23411</v>
      </c>
      <c r="M13" s="216">
        <f>SUM(K13:L13)</f>
        <v>38793</v>
      </c>
    </row>
    <row r="14" spans="1:13" ht="12.75">
      <c r="A14" s="190" t="s">
        <v>10</v>
      </c>
      <c r="B14" s="215">
        <v>314</v>
      </c>
      <c r="C14" s="218">
        <v>513</v>
      </c>
      <c r="D14" s="216">
        <f>SUM(B14:C14)</f>
        <v>827</v>
      </c>
      <c r="E14" s="215">
        <v>251</v>
      </c>
      <c r="F14" s="218">
        <v>309</v>
      </c>
      <c r="G14" s="216">
        <f>SUM(E14:F14)</f>
        <v>560</v>
      </c>
      <c r="H14" s="217">
        <f t="shared" si="0"/>
        <v>527</v>
      </c>
      <c r="I14" s="216">
        <f t="shared" si="0"/>
        <v>174</v>
      </c>
      <c r="J14" s="216">
        <f>SUM(H14:I14)</f>
        <v>701</v>
      </c>
      <c r="K14" s="217">
        <v>1092</v>
      </c>
      <c r="L14" s="216">
        <v>996</v>
      </c>
      <c r="M14" s="216">
        <f>SUM(K14:L14)</f>
        <v>2088</v>
      </c>
    </row>
    <row r="15" spans="1:13" ht="12.75">
      <c r="A15" s="190" t="s">
        <v>11</v>
      </c>
      <c r="B15" s="217">
        <v>499</v>
      </c>
      <c r="C15" s="216">
        <v>763</v>
      </c>
      <c r="D15" s="216">
        <f>SUM(B15:C15)</f>
        <v>1262</v>
      </c>
      <c r="E15" s="217">
        <v>377</v>
      </c>
      <c r="F15" s="216">
        <v>531</v>
      </c>
      <c r="G15" s="216">
        <f>SUM(E15:F15)</f>
        <v>908</v>
      </c>
      <c r="H15" s="217">
        <f t="shared" si="0"/>
        <v>606</v>
      </c>
      <c r="I15" s="216">
        <f t="shared" si="0"/>
        <v>335</v>
      </c>
      <c r="J15" s="216">
        <f>SUM(H15:I15)</f>
        <v>941</v>
      </c>
      <c r="K15" s="217">
        <v>1482</v>
      </c>
      <c r="L15" s="216">
        <v>1629</v>
      </c>
      <c r="M15" s="216">
        <f>SUM(K15:L15)</f>
        <v>3111</v>
      </c>
    </row>
    <row r="16" spans="1:13" s="204" customFormat="1" ht="12.75">
      <c r="A16" s="219" t="s">
        <v>5</v>
      </c>
      <c r="B16" s="220">
        <f>SUM(B12:B15)</f>
        <v>7938</v>
      </c>
      <c r="C16" s="221">
        <f aca="true" t="shared" si="1" ref="C16:M16">SUM(C12:C15)</f>
        <v>16693</v>
      </c>
      <c r="D16" s="221">
        <f t="shared" si="1"/>
        <v>24631</v>
      </c>
      <c r="E16" s="220">
        <f t="shared" si="1"/>
        <v>7933</v>
      </c>
      <c r="F16" s="221">
        <f t="shared" si="1"/>
        <v>12083</v>
      </c>
      <c r="G16" s="221">
        <f t="shared" si="1"/>
        <v>20016</v>
      </c>
      <c r="H16" s="220">
        <f t="shared" si="1"/>
        <v>6594</v>
      </c>
      <c r="I16" s="221">
        <f t="shared" si="1"/>
        <v>3782</v>
      </c>
      <c r="J16" s="221">
        <f t="shared" si="1"/>
        <v>10376</v>
      </c>
      <c r="K16" s="220">
        <f t="shared" si="1"/>
        <v>22465</v>
      </c>
      <c r="L16" s="221">
        <f t="shared" si="1"/>
        <v>32558</v>
      </c>
      <c r="M16" s="221">
        <f t="shared" si="1"/>
        <v>55023</v>
      </c>
    </row>
    <row r="18" ht="12.75">
      <c r="A18" s="190" t="s">
        <v>47</v>
      </c>
    </row>
    <row r="19" ht="12.75">
      <c r="A19" s="190" t="s">
        <v>41</v>
      </c>
    </row>
    <row r="20" ht="12.75">
      <c r="A20" s="190" t="s">
        <v>37</v>
      </c>
    </row>
    <row r="21" ht="12.75">
      <c r="A21" s="190" t="s">
        <v>48</v>
      </c>
    </row>
    <row r="22" ht="12.75">
      <c r="A22" s="190" t="s">
        <v>40</v>
      </c>
    </row>
    <row r="23" ht="12.75">
      <c r="A23" s="190" t="s">
        <v>38</v>
      </c>
    </row>
    <row r="24" ht="12.75">
      <c r="A24" s="190" t="s">
        <v>39</v>
      </c>
    </row>
    <row r="25" ht="12.75">
      <c r="A25" s="190" t="s">
        <v>43</v>
      </c>
    </row>
    <row r="26" ht="12.75">
      <c r="A26" s="190" t="s">
        <v>42</v>
      </c>
    </row>
    <row r="27" ht="12.75">
      <c r="A27" s="190" t="s">
        <v>67</v>
      </c>
    </row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9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2.28125" style="2" customWidth="1"/>
    <col min="2" max="10" width="8.8515625" style="2" customWidth="1"/>
    <col min="11" max="16384" width="9.140625" style="2" customWidth="1"/>
  </cols>
  <sheetData>
    <row r="1" spans="1:3" ht="12.75">
      <c r="A1" s="1" t="s">
        <v>60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65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33</v>
      </c>
      <c r="B12" s="22">
        <f>3121-10</f>
        <v>3111</v>
      </c>
      <c r="C12" s="19">
        <f>4729-47</f>
        <v>4682</v>
      </c>
      <c r="D12" s="19">
        <f>SUM(B12:C12)</f>
        <v>7793</v>
      </c>
      <c r="E12" s="18">
        <f>1410-12</f>
        <v>1398</v>
      </c>
      <c r="F12" s="19">
        <f>1880-40</f>
        <v>1840</v>
      </c>
      <c r="G12" s="19">
        <f>SUM(E12:F12)</f>
        <v>3238</v>
      </c>
      <c r="H12" s="18">
        <f aca="true" t="shared" si="0" ref="H12:I15">SUM(B12,E12)</f>
        <v>4509</v>
      </c>
      <c r="I12" s="19">
        <f t="shared" si="0"/>
        <v>6522</v>
      </c>
      <c r="J12" s="19">
        <f>SUM(H12:I12)</f>
        <v>11031</v>
      </c>
    </row>
    <row r="13" spans="1:10" ht="12.75">
      <c r="A13" s="2" t="s">
        <v>34</v>
      </c>
      <c r="B13" s="22">
        <f>12591-55</f>
        <v>12536</v>
      </c>
      <c r="C13" s="19">
        <f>18926-478</f>
        <v>18448</v>
      </c>
      <c r="D13" s="19">
        <f>SUM(B13:C13)</f>
        <v>30984</v>
      </c>
      <c r="E13" s="18">
        <f>2878-32</f>
        <v>2846</v>
      </c>
      <c r="F13" s="19">
        <f>5150-187</f>
        <v>4963</v>
      </c>
      <c r="G13" s="19">
        <f>SUM(E13:F13)</f>
        <v>7809</v>
      </c>
      <c r="H13" s="18">
        <f t="shared" si="0"/>
        <v>15382</v>
      </c>
      <c r="I13" s="19">
        <f t="shared" si="0"/>
        <v>23411</v>
      </c>
      <c r="J13" s="19">
        <f>SUM(H13:I13)</f>
        <v>38793</v>
      </c>
    </row>
    <row r="14" spans="1:10" ht="12.75">
      <c r="A14" s="2" t="s">
        <v>35</v>
      </c>
      <c r="B14" s="22">
        <f>877-10</f>
        <v>867</v>
      </c>
      <c r="C14" s="23">
        <f>822-54</f>
        <v>768</v>
      </c>
      <c r="D14" s="19">
        <f>SUM(B14:C14)</f>
        <v>1635</v>
      </c>
      <c r="E14" s="22">
        <f>226-1</f>
        <v>225</v>
      </c>
      <c r="F14" s="19">
        <f>242-14</f>
        <v>228</v>
      </c>
      <c r="G14" s="19">
        <f>SUM(E14:F14)</f>
        <v>453</v>
      </c>
      <c r="H14" s="18">
        <f t="shared" si="0"/>
        <v>1092</v>
      </c>
      <c r="I14" s="19">
        <f t="shared" si="0"/>
        <v>996</v>
      </c>
      <c r="J14" s="19">
        <f>SUM(H14:I14)</f>
        <v>2088</v>
      </c>
    </row>
    <row r="15" spans="1:10" ht="12.75">
      <c r="A15" s="2" t="s">
        <v>36</v>
      </c>
      <c r="B15" s="18">
        <f>1127-4</f>
        <v>1123</v>
      </c>
      <c r="C15" s="19">
        <f>1258-11</f>
        <v>1247</v>
      </c>
      <c r="D15" s="19">
        <f>SUM(B15:C15)</f>
        <v>2370</v>
      </c>
      <c r="E15" s="18">
        <f>359-0</f>
        <v>359</v>
      </c>
      <c r="F15" s="19">
        <f>386-4</f>
        <v>382</v>
      </c>
      <c r="G15" s="19">
        <f>SUM(E15:F15)</f>
        <v>741</v>
      </c>
      <c r="H15" s="18">
        <f t="shared" si="0"/>
        <v>1482</v>
      </c>
      <c r="I15" s="19">
        <f t="shared" si="0"/>
        <v>1629</v>
      </c>
      <c r="J15" s="19">
        <f>SUM(H15:I15)</f>
        <v>3111</v>
      </c>
    </row>
    <row r="16" spans="1:10" s="1" customFormat="1" ht="12.75">
      <c r="A16" s="16" t="s">
        <v>5</v>
      </c>
      <c r="B16" s="20">
        <f>SUM(B12:B15)</f>
        <v>17637</v>
      </c>
      <c r="C16" s="21">
        <f aca="true" t="shared" si="1" ref="C16:J16">SUM(C12:C15)</f>
        <v>25145</v>
      </c>
      <c r="D16" s="21">
        <f t="shared" si="1"/>
        <v>42782</v>
      </c>
      <c r="E16" s="20">
        <f t="shared" si="1"/>
        <v>4828</v>
      </c>
      <c r="F16" s="21">
        <f t="shared" si="1"/>
        <v>7413</v>
      </c>
      <c r="G16" s="21">
        <f t="shared" si="1"/>
        <v>12241</v>
      </c>
      <c r="H16" s="20">
        <f t="shared" si="1"/>
        <v>22465</v>
      </c>
      <c r="I16" s="21">
        <f t="shared" si="1"/>
        <v>32558</v>
      </c>
      <c r="J16" s="21">
        <f t="shared" si="1"/>
        <v>55023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22">
        <v>385</v>
      </c>
      <c r="C19" s="19">
        <v>649</v>
      </c>
      <c r="D19" s="19">
        <f>SUM(B19:C19)</f>
        <v>1034</v>
      </c>
      <c r="E19" s="18">
        <v>154</v>
      </c>
      <c r="F19" s="19">
        <v>292</v>
      </c>
      <c r="G19" s="19">
        <f>SUM(E19:F19)</f>
        <v>446</v>
      </c>
      <c r="H19" s="18">
        <f aca="true" t="shared" si="2" ref="H19:I22">SUM(B19,E19)</f>
        <v>539</v>
      </c>
      <c r="I19" s="19">
        <f t="shared" si="2"/>
        <v>941</v>
      </c>
      <c r="J19" s="19">
        <f>SUM(H19:I19)</f>
        <v>1480</v>
      </c>
    </row>
    <row r="20" spans="1:10" ht="12.75">
      <c r="A20" s="2" t="s">
        <v>34</v>
      </c>
      <c r="B20" s="22">
        <v>1098</v>
      </c>
      <c r="C20" s="23">
        <v>1794</v>
      </c>
      <c r="D20" s="19">
        <f>SUM(B20:C20)</f>
        <v>2892</v>
      </c>
      <c r="E20" s="18">
        <v>327</v>
      </c>
      <c r="F20" s="19">
        <v>765</v>
      </c>
      <c r="G20" s="19">
        <f>SUM(E20:F20)</f>
        <v>1092</v>
      </c>
      <c r="H20" s="18">
        <f t="shared" si="2"/>
        <v>1425</v>
      </c>
      <c r="I20" s="19">
        <f t="shared" si="2"/>
        <v>2559</v>
      </c>
      <c r="J20" s="19">
        <f>SUM(H20:I20)</f>
        <v>3984</v>
      </c>
    </row>
    <row r="21" spans="1:10" ht="12.75">
      <c r="A21" s="2" t="s">
        <v>35</v>
      </c>
      <c r="B21" s="22">
        <v>45</v>
      </c>
      <c r="C21" s="24">
        <v>40</v>
      </c>
      <c r="D21" s="19">
        <f>SUM(B21:C21)</f>
        <v>85</v>
      </c>
      <c r="E21" s="22">
        <v>16</v>
      </c>
      <c r="F21" s="24">
        <v>9</v>
      </c>
      <c r="G21" s="19">
        <f>SUM(E21:F21)</f>
        <v>25</v>
      </c>
      <c r="H21" s="18">
        <f t="shared" si="2"/>
        <v>61</v>
      </c>
      <c r="I21" s="19">
        <f t="shared" si="2"/>
        <v>49</v>
      </c>
      <c r="J21" s="19">
        <f>SUM(H21:I21)</f>
        <v>110</v>
      </c>
    </row>
    <row r="22" spans="1:10" ht="12.75">
      <c r="A22" s="2" t="s">
        <v>36</v>
      </c>
      <c r="B22" s="22">
        <v>220</v>
      </c>
      <c r="C22" s="23">
        <v>285</v>
      </c>
      <c r="D22" s="19">
        <f>SUM(B22:C22)</f>
        <v>505</v>
      </c>
      <c r="E22" s="18">
        <v>77</v>
      </c>
      <c r="F22" s="19">
        <v>145</v>
      </c>
      <c r="G22" s="19">
        <f>SUM(E22:F22)</f>
        <v>222</v>
      </c>
      <c r="H22" s="18">
        <f t="shared" si="2"/>
        <v>297</v>
      </c>
      <c r="I22" s="19">
        <f t="shared" si="2"/>
        <v>430</v>
      </c>
      <c r="J22" s="19">
        <f>SUM(H22:I22)</f>
        <v>727</v>
      </c>
    </row>
    <row r="23" spans="1:10" s="1" customFormat="1" ht="12.75">
      <c r="A23" s="16" t="s">
        <v>5</v>
      </c>
      <c r="B23" s="25">
        <f aca="true" t="shared" si="3" ref="B23:J23">SUM(B19:B22)</f>
        <v>1748</v>
      </c>
      <c r="C23" s="21">
        <f t="shared" si="3"/>
        <v>2768</v>
      </c>
      <c r="D23" s="21">
        <f t="shared" si="3"/>
        <v>4516</v>
      </c>
      <c r="E23" s="20">
        <f t="shared" si="3"/>
        <v>574</v>
      </c>
      <c r="F23" s="21">
        <f t="shared" si="3"/>
        <v>1211</v>
      </c>
      <c r="G23" s="21">
        <f t="shared" si="3"/>
        <v>1785</v>
      </c>
      <c r="H23" s="20">
        <f t="shared" si="3"/>
        <v>2322</v>
      </c>
      <c r="I23" s="21">
        <f t="shared" si="3"/>
        <v>3979</v>
      </c>
      <c r="J23" s="21">
        <f t="shared" si="3"/>
        <v>6301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3496</v>
      </c>
      <c r="C26" s="19">
        <f t="shared" si="4"/>
        <v>5331</v>
      </c>
      <c r="D26" s="19">
        <f>SUM(B26:C26)</f>
        <v>8827</v>
      </c>
      <c r="E26" s="18">
        <f aca="true" t="shared" si="5" ref="E26:F29">SUM(E12,E19)</f>
        <v>1552</v>
      </c>
      <c r="F26" s="19">
        <f t="shared" si="5"/>
        <v>2132</v>
      </c>
      <c r="G26" s="19">
        <f>SUM(E26:F26)</f>
        <v>3684</v>
      </c>
      <c r="H26" s="18">
        <f aca="true" t="shared" si="6" ref="H26:I29">SUM(B26,E26)</f>
        <v>5048</v>
      </c>
      <c r="I26" s="19">
        <f t="shared" si="6"/>
        <v>7463</v>
      </c>
      <c r="J26" s="19">
        <f>SUM(H26:I26)</f>
        <v>12511</v>
      </c>
    </row>
    <row r="27" spans="1:10" ht="12.75">
      <c r="A27" s="2" t="s">
        <v>34</v>
      </c>
      <c r="B27" s="18">
        <f t="shared" si="4"/>
        <v>13634</v>
      </c>
      <c r="C27" s="19">
        <f t="shared" si="4"/>
        <v>20242</v>
      </c>
      <c r="D27" s="19">
        <f>SUM(B27:C27)</f>
        <v>33876</v>
      </c>
      <c r="E27" s="18">
        <f t="shared" si="5"/>
        <v>3173</v>
      </c>
      <c r="F27" s="19">
        <f t="shared" si="5"/>
        <v>5728</v>
      </c>
      <c r="G27" s="19">
        <f>SUM(E27:F27)</f>
        <v>8901</v>
      </c>
      <c r="H27" s="18">
        <f t="shared" si="6"/>
        <v>16807</v>
      </c>
      <c r="I27" s="19">
        <f t="shared" si="6"/>
        <v>25970</v>
      </c>
      <c r="J27" s="19">
        <f>SUM(H27:I27)</f>
        <v>42777</v>
      </c>
    </row>
    <row r="28" spans="1:10" ht="12.75">
      <c r="A28" s="2" t="s">
        <v>35</v>
      </c>
      <c r="B28" s="18">
        <f t="shared" si="4"/>
        <v>912</v>
      </c>
      <c r="C28" s="19">
        <f t="shared" si="4"/>
        <v>808</v>
      </c>
      <c r="D28" s="19">
        <f>SUM(B28:C28)</f>
        <v>1720</v>
      </c>
      <c r="E28" s="18">
        <f t="shared" si="5"/>
        <v>241</v>
      </c>
      <c r="F28" s="19">
        <f t="shared" si="5"/>
        <v>237</v>
      </c>
      <c r="G28" s="19">
        <f>SUM(E28:F28)</f>
        <v>478</v>
      </c>
      <c r="H28" s="18">
        <f t="shared" si="6"/>
        <v>1153</v>
      </c>
      <c r="I28" s="19">
        <f t="shared" si="6"/>
        <v>1045</v>
      </c>
      <c r="J28" s="19">
        <f>SUM(H28:I28)</f>
        <v>2198</v>
      </c>
    </row>
    <row r="29" spans="1:10" ht="12.75">
      <c r="A29" s="2" t="s">
        <v>36</v>
      </c>
      <c r="B29" s="18">
        <f t="shared" si="4"/>
        <v>1343</v>
      </c>
      <c r="C29" s="19">
        <f t="shared" si="4"/>
        <v>1532</v>
      </c>
      <c r="D29" s="19">
        <f>SUM(B29:C29)</f>
        <v>2875</v>
      </c>
      <c r="E29" s="18">
        <f t="shared" si="5"/>
        <v>436</v>
      </c>
      <c r="F29" s="19">
        <f t="shared" si="5"/>
        <v>527</v>
      </c>
      <c r="G29" s="19">
        <f>SUM(E29:F29)</f>
        <v>963</v>
      </c>
      <c r="H29" s="18">
        <f t="shared" si="6"/>
        <v>1779</v>
      </c>
      <c r="I29" s="19">
        <f t="shared" si="6"/>
        <v>2059</v>
      </c>
      <c r="J29" s="19">
        <f>SUM(H29:I29)</f>
        <v>3838</v>
      </c>
    </row>
    <row r="30" spans="1:10" s="1" customFormat="1" ht="12.75">
      <c r="A30" s="16" t="s">
        <v>5</v>
      </c>
      <c r="B30" s="20">
        <f aca="true" t="shared" si="7" ref="B30:J30">SUM(B26:B29)</f>
        <v>19385</v>
      </c>
      <c r="C30" s="21">
        <f t="shared" si="7"/>
        <v>27913</v>
      </c>
      <c r="D30" s="21">
        <f>SUM(B30:C30)</f>
        <v>47298</v>
      </c>
      <c r="E30" s="20">
        <f t="shared" si="7"/>
        <v>5402</v>
      </c>
      <c r="F30" s="21">
        <f t="shared" si="7"/>
        <v>8624</v>
      </c>
      <c r="G30" s="21">
        <f>SUM(E30:F30)</f>
        <v>14026</v>
      </c>
      <c r="H30" s="20">
        <f t="shared" si="7"/>
        <v>24787</v>
      </c>
      <c r="I30" s="21">
        <f t="shared" si="7"/>
        <v>36537</v>
      </c>
      <c r="J30" s="21">
        <f t="shared" si="7"/>
        <v>61324</v>
      </c>
    </row>
    <row r="31" spans="1:10" s="1" customFormat="1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ht="12.75">
      <c r="A32" s="199" t="s">
        <v>68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1200" verticalDpi="1200" orientation="portrait" paperSize="9" scale="9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5.00390625" style="51" customWidth="1"/>
    <col min="2" max="10" width="8.421875" style="51" customWidth="1"/>
    <col min="11" max="16384" width="9.140625" style="51" customWidth="1"/>
  </cols>
  <sheetData>
    <row r="1" spans="1:10" s="29" customFormat="1" ht="12.75">
      <c r="A1" s="1" t="s">
        <v>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66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33</v>
      </c>
      <c r="B12" s="44">
        <v>262</v>
      </c>
      <c r="C12" s="45">
        <v>868</v>
      </c>
      <c r="D12" s="45">
        <f>SUM(B12:C12)</f>
        <v>1130</v>
      </c>
      <c r="E12" s="46">
        <v>146</v>
      </c>
      <c r="F12" s="45">
        <v>300</v>
      </c>
      <c r="G12" s="45">
        <f>SUM(E12:F12)</f>
        <v>446</v>
      </c>
      <c r="H12" s="46">
        <f aca="true" t="shared" si="0" ref="H12:I15">SUM(B12,E12)</f>
        <v>408</v>
      </c>
      <c r="I12" s="45">
        <f t="shared" si="0"/>
        <v>1168</v>
      </c>
      <c r="J12" s="45">
        <f>SUM(H12:I12)</f>
        <v>1576</v>
      </c>
    </row>
    <row r="13" spans="1:10" s="34" customFormat="1" ht="12.75">
      <c r="A13" s="34" t="s">
        <v>34</v>
      </c>
      <c r="B13" s="44">
        <f>1061-2</f>
        <v>1059</v>
      </c>
      <c r="C13" s="47">
        <f>2405-14</f>
        <v>2391</v>
      </c>
      <c r="D13" s="45">
        <f>SUM(B13:C13)</f>
        <v>3450</v>
      </c>
      <c r="E13" s="46">
        <f>304-0</f>
        <v>304</v>
      </c>
      <c r="F13" s="45">
        <f>661-3</f>
        <v>658</v>
      </c>
      <c r="G13" s="45">
        <f>SUM(E13:F13)</f>
        <v>962</v>
      </c>
      <c r="H13" s="46">
        <f t="shared" si="0"/>
        <v>1363</v>
      </c>
      <c r="I13" s="45">
        <f t="shared" si="0"/>
        <v>3049</v>
      </c>
      <c r="J13" s="45">
        <f>SUM(H13:I13)</f>
        <v>4412</v>
      </c>
    </row>
    <row r="14" spans="1:10" s="34" customFormat="1" ht="12.75">
      <c r="A14" s="34" t="s">
        <v>35</v>
      </c>
      <c r="B14" s="44">
        <v>55</v>
      </c>
      <c r="C14" s="48">
        <v>117</v>
      </c>
      <c r="D14" s="45">
        <f>SUM(B14:C14)</f>
        <v>172</v>
      </c>
      <c r="E14" s="44">
        <v>18</v>
      </c>
      <c r="F14" s="48">
        <v>38</v>
      </c>
      <c r="G14" s="45">
        <f>SUM(E14:F14)</f>
        <v>56</v>
      </c>
      <c r="H14" s="46">
        <f t="shared" si="0"/>
        <v>73</v>
      </c>
      <c r="I14" s="45">
        <f t="shared" si="0"/>
        <v>155</v>
      </c>
      <c r="J14" s="45">
        <f>SUM(H14:I14)</f>
        <v>228</v>
      </c>
    </row>
    <row r="15" spans="1:10" s="34" customFormat="1" ht="12.75">
      <c r="A15" s="34" t="s">
        <v>36</v>
      </c>
      <c r="B15" s="44">
        <v>60</v>
      </c>
      <c r="C15" s="47">
        <v>184</v>
      </c>
      <c r="D15" s="45">
        <f>SUM(B15:C15)</f>
        <v>244</v>
      </c>
      <c r="E15" s="46">
        <v>42</v>
      </c>
      <c r="F15" s="45">
        <v>68</v>
      </c>
      <c r="G15" s="45">
        <f>SUM(E15:F15)</f>
        <v>110</v>
      </c>
      <c r="H15" s="46">
        <f t="shared" si="0"/>
        <v>102</v>
      </c>
      <c r="I15" s="45">
        <f t="shared" si="0"/>
        <v>252</v>
      </c>
      <c r="J15" s="45">
        <f>SUM(H15:I15)</f>
        <v>354</v>
      </c>
    </row>
    <row r="16" spans="1:10" s="29" customFormat="1" ht="12.75">
      <c r="A16" s="30" t="s">
        <v>5</v>
      </c>
      <c r="B16" s="49">
        <f>SUM(B12:B15)</f>
        <v>1436</v>
      </c>
      <c r="C16" s="50">
        <f aca="true" t="shared" si="1" ref="C16:J16">SUM(C12:C15)</f>
        <v>3560</v>
      </c>
      <c r="D16" s="50">
        <f t="shared" si="1"/>
        <v>4996</v>
      </c>
      <c r="E16" s="49">
        <f t="shared" si="1"/>
        <v>510</v>
      </c>
      <c r="F16" s="50">
        <f t="shared" si="1"/>
        <v>1064</v>
      </c>
      <c r="G16" s="50">
        <f t="shared" si="1"/>
        <v>1574</v>
      </c>
      <c r="H16" s="49">
        <f t="shared" si="1"/>
        <v>1946</v>
      </c>
      <c r="I16" s="50">
        <f t="shared" si="1"/>
        <v>4624</v>
      </c>
      <c r="J16" s="50">
        <f t="shared" si="1"/>
        <v>6570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33</v>
      </c>
      <c r="B19" s="46">
        <v>35</v>
      </c>
      <c r="C19" s="45">
        <v>188</v>
      </c>
      <c r="D19" s="45">
        <f>SUM(B19:C19)</f>
        <v>223</v>
      </c>
      <c r="E19" s="46">
        <v>18</v>
      </c>
      <c r="F19" s="45">
        <v>98</v>
      </c>
      <c r="G19" s="45">
        <f>SUM(E19:F19)</f>
        <v>116</v>
      </c>
      <c r="H19" s="46">
        <f aca="true" t="shared" si="2" ref="H19:I22">SUM(B19,E19)</f>
        <v>53</v>
      </c>
      <c r="I19" s="45">
        <f t="shared" si="2"/>
        <v>286</v>
      </c>
      <c r="J19" s="45">
        <f>SUM(H19:I19)</f>
        <v>339</v>
      </c>
    </row>
    <row r="20" spans="1:10" s="34" customFormat="1" ht="12.75">
      <c r="A20" s="34" t="s">
        <v>34</v>
      </c>
      <c r="B20" s="46">
        <v>96</v>
      </c>
      <c r="C20" s="45">
        <v>366</v>
      </c>
      <c r="D20" s="45">
        <f>SUM(B20:C20)</f>
        <v>462</v>
      </c>
      <c r="E20" s="46">
        <v>29</v>
      </c>
      <c r="F20" s="45">
        <v>158</v>
      </c>
      <c r="G20" s="45">
        <f>SUM(E20:F20)</f>
        <v>187</v>
      </c>
      <c r="H20" s="46">
        <f t="shared" si="2"/>
        <v>125</v>
      </c>
      <c r="I20" s="45">
        <f t="shared" si="2"/>
        <v>524</v>
      </c>
      <c r="J20" s="45">
        <f>SUM(H20:I20)</f>
        <v>649</v>
      </c>
    </row>
    <row r="21" spans="1:10" s="34" customFormat="1" ht="12.75">
      <c r="A21" s="34" t="s">
        <v>35</v>
      </c>
      <c r="B21" s="46">
        <v>3</v>
      </c>
      <c r="C21" s="45">
        <v>6</v>
      </c>
      <c r="D21" s="45">
        <f>SUM(B21:C21)</f>
        <v>9</v>
      </c>
      <c r="E21" s="46">
        <v>0</v>
      </c>
      <c r="F21" s="45">
        <v>4</v>
      </c>
      <c r="G21" s="45">
        <f>SUM(E21:F21)</f>
        <v>4</v>
      </c>
      <c r="H21" s="46">
        <f t="shared" si="2"/>
        <v>3</v>
      </c>
      <c r="I21" s="45">
        <f t="shared" si="2"/>
        <v>10</v>
      </c>
      <c r="J21" s="45">
        <f>SUM(H21:I21)</f>
        <v>13</v>
      </c>
    </row>
    <row r="22" spans="1:10" s="34" customFormat="1" ht="12.75">
      <c r="A22" s="34" t="s">
        <v>36</v>
      </c>
      <c r="B22" s="46">
        <v>15</v>
      </c>
      <c r="C22" s="45">
        <v>60</v>
      </c>
      <c r="D22" s="45">
        <f>SUM(B22:C22)</f>
        <v>75</v>
      </c>
      <c r="E22" s="46">
        <v>8</v>
      </c>
      <c r="F22" s="45">
        <v>31</v>
      </c>
      <c r="G22" s="45">
        <f>SUM(E22:F22)</f>
        <v>39</v>
      </c>
      <c r="H22" s="46">
        <f t="shared" si="2"/>
        <v>23</v>
      </c>
      <c r="I22" s="45">
        <f t="shared" si="2"/>
        <v>91</v>
      </c>
      <c r="J22" s="45">
        <f>SUM(H22:I22)</f>
        <v>114</v>
      </c>
    </row>
    <row r="23" spans="1:10" s="29" customFormat="1" ht="12.75">
      <c r="A23" s="30" t="s">
        <v>5</v>
      </c>
      <c r="B23" s="49">
        <f aca="true" t="shared" si="3" ref="B23:J23">SUM(B19:B22)</f>
        <v>149</v>
      </c>
      <c r="C23" s="50">
        <f t="shared" si="3"/>
        <v>620</v>
      </c>
      <c r="D23" s="50">
        <f t="shared" si="3"/>
        <v>769</v>
      </c>
      <c r="E23" s="49">
        <f t="shared" si="3"/>
        <v>55</v>
      </c>
      <c r="F23" s="50">
        <f t="shared" si="3"/>
        <v>291</v>
      </c>
      <c r="G23" s="50">
        <f t="shared" si="3"/>
        <v>346</v>
      </c>
      <c r="H23" s="49">
        <f t="shared" si="3"/>
        <v>204</v>
      </c>
      <c r="I23" s="50">
        <f t="shared" si="3"/>
        <v>911</v>
      </c>
      <c r="J23" s="50">
        <f t="shared" si="3"/>
        <v>1115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33</v>
      </c>
      <c r="B26" s="46">
        <f aca="true" t="shared" si="4" ref="B26:C29">SUM(B12,B19)</f>
        <v>297</v>
      </c>
      <c r="C26" s="45">
        <f t="shared" si="4"/>
        <v>1056</v>
      </c>
      <c r="D26" s="45">
        <f>SUM(B26:C26)</f>
        <v>1353</v>
      </c>
      <c r="E26" s="46">
        <f aca="true" t="shared" si="5" ref="E26:F29">SUM(E12,E19)</f>
        <v>164</v>
      </c>
      <c r="F26" s="45">
        <f t="shared" si="5"/>
        <v>398</v>
      </c>
      <c r="G26" s="45">
        <f>SUM(E26:F26)</f>
        <v>562</v>
      </c>
      <c r="H26" s="46">
        <f aca="true" t="shared" si="6" ref="H26:I29">SUM(B26,E26)</f>
        <v>461</v>
      </c>
      <c r="I26" s="45">
        <f t="shared" si="6"/>
        <v>1454</v>
      </c>
      <c r="J26" s="45">
        <f>SUM(H26:I26)</f>
        <v>1915</v>
      </c>
    </row>
    <row r="27" spans="1:10" s="34" customFormat="1" ht="12.75">
      <c r="A27" s="34" t="s">
        <v>34</v>
      </c>
      <c r="B27" s="46">
        <f t="shared" si="4"/>
        <v>1155</v>
      </c>
      <c r="C27" s="45">
        <f t="shared" si="4"/>
        <v>2757</v>
      </c>
      <c r="D27" s="45">
        <f>SUM(B27:C27)</f>
        <v>3912</v>
      </c>
      <c r="E27" s="46">
        <f t="shared" si="5"/>
        <v>333</v>
      </c>
      <c r="F27" s="45">
        <f t="shared" si="5"/>
        <v>816</v>
      </c>
      <c r="G27" s="45">
        <f>SUM(E27:F27)</f>
        <v>1149</v>
      </c>
      <c r="H27" s="46">
        <f t="shared" si="6"/>
        <v>1488</v>
      </c>
      <c r="I27" s="45">
        <f t="shared" si="6"/>
        <v>3573</v>
      </c>
      <c r="J27" s="45">
        <f>SUM(H27:I27)</f>
        <v>5061</v>
      </c>
    </row>
    <row r="28" spans="1:10" s="34" customFormat="1" ht="12.75">
      <c r="A28" s="34" t="s">
        <v>35</v>
      </c>
      <c r="B28" s="46">
        <f t="shared" si="4"/>
        <v>58</v>
      </c>
      <c r="C28" s="45">
        <f t="shared" si="4"/>
        <v>123</v>
      </c>
      <c r="D28" s="45">
        <f>SUM(B28:C28)</f>
        <v>181</v>
      </c>
      <c r="E28" s="46">
        <f t="shared" si="5"/>
        <v>18</v>
      </c>
      <c r="F28" s="45">
        <f t="shared" si="5"/>
        <v>42</v>
      </c>
      <c r="G28" s="45">
        <f>SUM(E28:F28)</f>
        <v>60</v>
      </c>
      <c r="H28" s="46">
        <f t="shared" si="6"/>
        <v>76</v>
      </c>
      <c r="I28" s="45">
        <f t="shared" si="6"/>
        <v>165</v>
      </c>
      <c r="J28" s="45">
        <f>SUM(H28:I28)</f>
        <v>241</v>
      </c>
    </row>
    <row r="29" spans="1:10" s="34" customFormat="1" ht="12.75">
      <c r="A29" s="34" t="s">
        <v>36</v>
      </c>
      <c r="B29" s="46">
        <f t="shared" si="4"/>
        <v>75</v>
      </c>
      <c r="C29" s="45">
        <f t="shared" si="4"/>
        <v>244</v>
      </c>
      <c r="D29" s="45">
        <f>SUM(B29:C29)</f>
        <v>319</v>
      </c>
      <c r="E29" s="46">
        <f t="shared" si="5"/>
        <v>50</v>
      </c>
      <c r="F29" s="45">
        <f t="shared" si="5"/>
        <v>99</v>
      </c>
      <c r="G29" s="45">
        <f>SUM(E29:F29)</f>
        <v>149</v>
      </c>
      <c r="H29" s="46">
        <f t="shared" si="6"/>
        <v>125</v>
      </c>
      <c r="I29" s="45">
        <f t="shared" si="6"/>
        <v>343</v>
      </c>
      <c r="J29" s="45">
        <f>SUM(H29:I29)</f>
        <v>468</v>
      </c>
    </row>
    <row r="30" spans="1:10" s="29" customFormat="1" ht="12.75">
      <c r="A30" s="30" t="s">
        <v>5</v>
      </c>
      <c r="B30" s="49">
        <f aca="true" t="shared" si="7" ref="B30:J30">SUM(B26:B29)</f>
        <v>1585</v>
      </c>
      <c r="C30" s="50">
        <f t="shared" si="7"/>
        <v>4180</v>
      </c>
      <c r="D30" s="50">
        <f>SUM(B30:C30)</f>
        <v>5765</v>
      </c>
      <c r="E30" s="49">
        <f t="shared" si="7"/>
        <v>565</v>
      </c>
      <c r="F30" s="50">
        <f t="shared" si="7"/>
        <v>1355</v>
      </c>
      <c r="G30" s="50">
        <f>SUM(E30:F30)</f>
        <v>1920</v>
      </c>
      <c r="H30" s="49">
        <f t="shared" si="7"/>
        <v>2150</v>
      </c>
      <c r="I30" s="50">
        <f t="shared" si="7"/>
        <v>5535</v>
      </c>
      <c r="J30" s="50">
        <f t="shared" si="7"/>
        <v>7685</v>
      </c>
    </row>
    <row r="31" s="34" customFormat="1" ht="12.75"/>
    <row r="32" s="196" customFormat="1" ht="12.75">
      <c r="A32" s="200" t="s">
        <v>68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60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61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33</v>
      </c>
      <c r="B12" s="18">
        <f>3320-11</f>
        <v>3309</v>
      </c>
      <c r="C12" s="19">
        <f>5341-52</f>
        <v>5289</v>
      </c>
      <c r="D12" s="19">
        <f>SUM(B12:C12)</f>
        <v>8598</v>
      </c>
      <c r="E12" s="18">
        <f>1596-13</f>
        <v>1583</v>
      </c>
      <c r="F12" s="19">
        <f>2138-45</f>
        <v>2093</v>
      </c>
      <c r="G12" s="19">
        <f>SUM(E12:F12)</f>
        <v>3676</v>
      </c>
      <c r="H12" s="18">
        <f aca="true" t="shared" si="0" ref="H12:I15">SUM(B12,E12)</f>
        <v>4892</v>
      </c>
      <c r="I12" s="19">
        <f t="shared" si="0"/>
        <v>7382</v>
      </c>
      <c r="J12" s="19">
        <f>SUM(H12:I12)</f>
        <v>12274</v>
      </c>
    </row>
    <row r="13" spans="1:10" ht="12.75">
      <c r="A13" s="2" t="s">
        <v>34</v>
      </c>
      <c r="B13" s="18">
        <f>13352-73</f>
        <v>13279</v>
      </c>
      <c r="C13" s="19">
        <f>22166-582</f>
        <v>21584</v>
      </c>
      <c r="D13" s="19">
        <f>SUM(B13:C13)</f>
        <v>34863</v>
      </c>
      <c r="E13" s="18">
        <f>3233-48</f>
        <v>3185</v>
      </c>
      <c r="F13" s="19">
        <f>5960-245</f>
        <v>5715</v>
      </c>
      <c r="G13" s="19">
        <f>SUM(E13:F13)</f>
        <v>8900</v>
      </c>
      <c r="H13" s="18">
        <f t="shared" si="0"/>
        <v>16464</v>
      </c>
      <c r="I13" s="19">
        <f t="shared" si="0"/>
        <v>27299</v>
      </c>
      <c r="J13" s="19">
        <f>SUM(H13:I13)</f>
        <v>43763</v>
      </c>
    </row>
    <row r="14" spans="1:10" ht="12.75">
      <c r="A14" s="2" t="s">
        <v>35</v>
      </c>
      <c r="B14" s="18">
        <f>922-11</f>
        <v>911</v>
      </c>
      <c r="C14" s="192">
        <f>933-59</f>
        <v>874</v>
      </c>
      <c r="D14" s="19">
        <f>SUM(B14:C14)</f>
        <v>1785</v>
      </c>
      <c r="E14" s="18">
        <f>249-1</f>
        <v>248</v>
      </c>
      <c r="F14" s="19">
        <f>282-16</f>
        <v>266</v>
      </c>
      <c r="G14" s="19">
        <f>SUM(E14:F14)</f>
        <v>514</v>
      </c>
      <c r="H14" s="18">
        <f t="shared" si="0"/>
        <v>1159</v>
      </c>
      <c r="I14" s="19">
        <f t="shared" si="0"/>
        <v>1140</v>
      </c>
      <c r="J14" s="19">
        <f>SUM(H14:I14)</f>
        <v>2299</v>
      </c>
    </row>
    <row r="15" spans="1:10" ht="12.75">
      <c r="A15" s="2" t="s">
        <v>36</v>
      </c>
      <c r="B15" s="18">
        <f>1210-4</f>
        <v>1206</v>
      </c>
      <c r="C15" s="19">
        <f>1426-12</f>
        <v>1414</v>
      </c>
      <c r="D15" s="19">
        <f>SUM(B15:C15)</f>
        <v>2620</v>
      </c>
      <c r="E15" s="18">
        <f>404-1</f>
        <v>403</v>
      </c>
      <c r="F15" s="19">
        <f>461-7</f>
        <v>454</v>
      </c>
      <c r="G15" s="19">
        <f>SUM(E15:F15)</f>
        <v>857</v>
      </c>
      <c r="H15" s="18">
        <f t="shared" si="0"/>
        <v>1609</v>
      </c>
      <c r="I15" s="19">
        <f t="shared" si="0"/>
        <v>1868</v>
      </c>
      <c r="J15" s="19">
        <f>SUM(H15:I15)</f>
        <v>3477</v>
      </c>
    </row>
    <row r="16" spans="1:10" s="1" customFormat="1" ht="12.75">
      <c r="A16" s="16" t="s">
        <v>5</v>
      </c>
      <c r="B16" s="20">
        <f>SUM(B12:B15)</f>
        <v>18705</v>
      </c>
      <c r="C16" s="21">
        <f aca="true" t="shared" si="1" ref="C16:J16">SUM(C12:C15)</f>
        <v>29161</v>
      </c>
      <c r="D16" s="21">
        <f t="shared" si="1"/>
        <v>47866</v>
      </c>
      <c r="E16" s="20">
        <f t="shared" si="1"/>
        <v>5419</v>
      </c>
      <c r="F16" s="21">
        <f t="shared" si="1"/>
        <v>8528</v>
      </c>
      <c r="G16" s="21">
        <f t="shared" si="1"/>
        <v>13947</v>
      </c>
      <c r="H16" s="20">
        <f t="shared" si="1"/>
        <v>24124</v>
      </c>
      <c r="I16" s="21">
        <f t="shared" si="1"/>
        <v>37689</v>
      </c>
      <c r="J16" s="21">
        <f t="shared" si="1"/>
        <v>61813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18">
        <v>410</v>
      </c>
      <c r="C19" s="19">
        <v>702</v>
      </c>
      <c r="D19" s="19">
        <f>SUM(B19:C19)</f>
        <v>1112</v>
      </c>
      <c r="E19" s="18">
        <v>175</v>
      </c>
      <c r="F19" s="19">
        <v>337</v>
      </c>
      <c r="G19" s="19">
        <f>SUM(E19:F19)</f>
        <v>512</v>
      </c>
      <c r="H19" s="18">
        <f aca="true" t="shared" si="2" ref="H19:I22">SUM(B19,E19)</f>
        <v>585</v>
      </c>
      <c r="I19" s="19">
        <f t="shared" si="2"/>
        <v>1039</v>
      </c>
      <c r="J19" s="19">
        <f>SUM(H19:I19)</f>
        <v>1624</v>
      </c>
    </row>
    <row r="20" spans="1:10" ht="12.75">
      <c r="A20" s="2" t="s">
        <v>34</v>
      </c>
      <c r="B20" s="18">
        <v>1170</v>
      </c>
      <c r="C20" s="19">
        <v>2006</v>
      </c>
      <c r="D20" s="19">
        <f>SUM(B20:C20)</f>
        <v>3176</v>
      </c>
      <c r="E20" s="18">
        <v>369</v>
      </c>
      <c r="F20" s="19">
        <v>862</v>
      </c>
      <c r="G20" s="19">
        <f>SUM(E20:F20)</f>
        <v>1231</v>
      </c>
      <c r="H20" s="18">
        <f t="shared" si="2"/>
        <v>1539</v>
      </c>
      <c r="I20" s="19">
        <f t="shared" si="2"/>
        <v>2868</v>
      </c>
      <c r="J20" s="19">
        <f>SUM(H20:I20)</f>
        <v>4407</v>
      </c>
    </row>
    <row r="21" spans="1:10" ht="12.75">
      <c r="A21" s="2" t="s">
        <v>35</v>
      </c>
      <c r="B21" s="18">
        <v>45</v>
      </c>
      <c r="C21" s="19">
        <v>45</v>
      </c>
      <c r="D21" s="19">
        <f>SUM(B21:C21)</f>
        <v>90</v>
      </c>
      <c r="E21" s="18">
        <v>20</v>
      </c>
      <c r="F21" s="19">
        <v>10</v>
      </c>
      <c r="G21" s="19">
        <f>SUM(E21:F21)</f>
        <v>30</v>
      </c>
      <c r="H21" s="18">
        <f t="shared" si="2"/>
        <v>65</v>
      </c>
      <c r="I21" s="19">
        <f t="shared" si="2"/>
        <v>55</v>
      </c>
      <c r="J21" s="19">
        <f>SUM(H21:I21)</f>
        <v>120</v>
      </c>
    </row>
    <row r="22" spans="1:10" ht="12.75">
      <c r="A22" s="2" t="s">
        <v>36</v>
      </c>
      <c r="B22" s="18">
        <v>234</v>
      </c>
      <c r="C22" s="19">
        <v>311</v>
      </c>
      <c r="D22" s="19">
        <f>SUM(B22:C22)</f>
        <v>545</v>
      </c>
      <c r="E22" s="18">
        <v>95</v>
      </c>
      <c r="F22" s="19">
        <v>176</v>
      </c>
      <c r="G22" s="19">
        <f>SUM(E22:F22)</f>
        <v>271</v>
      </c>
      <c r="H22" s="18">
        <f t="shared" si="2"/>
        <v>329</v>
      </c>
      <c r="I22" s="19">
        <f t="shared" si="2"/>
        <v>487</v>
      </c>
      <c r="J22" s="19">
        <f>SUM(H22:I22)</f>
        <v>816</v>
      </c>
    </row>
    <row r="23" spans="1:10" s="1" customFormat="1" ht="12.75">
      <c r="A23" s="16" t="s">
        <v>5</v>
      </c>
      <c r="B23" s="20">
        <f aca="true" t="shared" si="3" ref="B23:J23">SUM(B19:B22)</f>
        <v>1859</v>
      </c>
      <c r="C23" s="21">
        <f t="shared" si="3"/>
        <v>3064</v>
      </c>
      <c r="D23" s="21">
        <f t="shared" si="3"/>
        <v>4923</v>
      </c>
      <c r="E23" s="20">
        <f t="shared" si="3"/>
        <v>659</v>
      </c>
      <c r="F23" s="21">
        <f t="shared" si="3"/>
        <v>1385</v>
      </c>
      <c r="G23" s="21">
        <f t="shared" si="3"/>
        <v>2044</v>
      </c>
      <c r="H23" s="20">
        <f t="shared" si="3"/>
        <v>2518</v>
      </c>
      <c r="I23" s="21">
        <f t="shared" si="3"/>
        <v>4449</v>
      </c>
      <c r="J23" s="21">
        <f t="shared" si="3"/>
        <v>6967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3719</v>
      </c>
      <c r="C26" s="19">
        <f t="shared" si="4"/>
        <v>5991</v>
      </c>
      <c r="D26" s="19">
        <f>SUM(B26:C26)</f>
        <v>9710</v>
      </c>
      <c r="E26" s="18">
        <f aca="true" t="shared" si="5" ref="E26:F29">SUM(E12,E19)</f>
        <v>1758</v>
      </c>
      <c r="F26" s="19">
        <f t="shared" si="5"/>
        <v>2430</v>
      </c>
      <c r="G26" s="19">
        <f>SUM(E26:F26)</f>
        <v>4188</v>
      </c>
      <c r="H26" s="18">
        <f aca="true" t="shared" si="6" ref="H26:I29">SUM(B26,E26)</f>
        <v>5477</v>
      </c>
      <c r="I26" s="19">
        <f t="shared" si="6"/>
        <v>8421</v>
      </c>
      <c r="J26" s="19">
        <f>SUM(H26:I26)</f>
        <v>13898</v>
      </c>
    </row>
    <row r="27" spans="1:10" ht="12.75">
      <c r="A27" s="2" t="s">
        <v>34</v>
      </c>
      <c r="B27" s="18">
        <f t="shared" si="4"/>
        <v>14449</v>
      </c>
      <c r="C27" s="19">
        <f t="shared" si="4"/>
        <v>23590</v>
      </c>
      <c r="D27" s="19">
        <f>SUM(B27:C27)</f>
        <v>38039</v>
      </c>
      <c r="E27" s="18">
        <f t="shared" si="5"/>
        <v>3554</v>
      </c>
      <c r="F27" s="19">
        <f t="shared" si="5"/>
        <v>6577</v>
      </c>
      <c r="G27" s="19">
        <f>SUM(E27:F27)</f>
        <v>10131</v>
      </c>
      <c r="H27" s="18">
        <f t="shared" si="6"/>
        <v>18003</v>
      </c>
      <c r="I27" s="19">
        <f t="shared" si="6"/>
        <v>30167</v>
      </c>
      <c r="J27" s="19">
        <f>SUM(H27:I27)</f>
        <v>48170</v>
      </c>
    </row>
    <row r="28" spans="1:10" ht="12.75">
      <c r="A28" s="2" t="s">
        <v>35</v>
      </c>
      <c r="B28" s="18">
        <f t="shared" si="4"/>
        <v>956</v>
      </c>
      <c r="C28" s="19">
        <f t="shared" si="4"/>
        <v>919</v>
      </c>
      <c r="D28" s="19">
        <f>SUM(B28:C28)</f>
        <v>1875</v>
      </c>
      <c r="E28" s="18">
        <f t="shared" si="5"/>
        <v>268</v>
      </c>
      <c r="F28" s="19">
        <f t="shared" si="5"/>
        <v>276</v>
      </c>
      <c r="G28" s="19">
        <f>SUM(E28:F28)</f>
        <v>544</v>
      </c>
      <c r="H28" s="18">
        <f t="shared" si="6"/>
        <v>1224</v>
      </c>
      <c r="I28" s="19">
        <f t="shared" si="6"/>
        <v>1195</v>
      </c>
      <c r="J28" s="19">
        <f>SUM(H28:I28)</f>
        <v>2419</v>
      </c>
    </row>
    <row r="29" spans="1:10" ht="12.75">
      <c r="A29" s="2" t="s">
        <v>36</v>
      </c>
      <c r="B29" s="18">
        <f t="shared" si="4"/>
        <v>1440</v>
      </c>
      <c r="C29" s="19">
        <f t="shared" si="4"/>
        <v>1725</v>
      </c>
      <c r="D29" s="19">
        <f>SUM(B29:C29)</f>
        <v>3165</v>
      </c>
      <c r="E29" s="18">
        <f t="shared" si="5"/>
        <v>498</v>
      </c>
      <c r="F29" s="19">
        <f t="shared" si="5"/>
        <v>630</v>
      </c>
      <c r="G29" s="19">
        <f>SUM(E29:F29)</f>
        <v>1128</v>
      </c>
      <c r="H29" s="18">
        <f t="shared" si="6"/>
        <v>1938</v>
      </c>
      <c r="I29" s="19">
        <f t="shared" si="6"/>
        <v>2355</v>
      </c>
      <c r="J29" s="19">
        <f>SUM(H29:I29)</f>
        <v>4293</v>
      </c>
    </row>
    <row r="30" spans="1:10" s="1" customFormat="1" ht="12.75">
      <c r="A30" s="16" t="s">
        <v>5</v>
      </c>
      <c r="B30" s="20">
        <f aca="true" t="shared" si="7" ref="B30:J30">SUM(B26:B29)</f>
        <v>20564</v>
      </c>
      <c r="C30" s="21">
        <f t="shared" si="7"/>
        <v>32225</v>
      </c>
      <c r="D30" s="21">
        <f>SUM(B30:C30)</f>
        <v>52789</v>
      </c>
      <c r="E30" s="20">
        <f t="shared" si="7"/>
        <v>6078</v>
      </c>
      <c r="F30" s="21">
        <f t="shared" si="7"/>
        <v>9913</v>
      </c>
      <c r="G30" s="21">
        <f>SUM(E30:F30)</f>
        <v>15991</v>
      </c>
      <c r="H30" s="20">
        <f t="shared" si="7"/>
        <v>26642</v>
      </c>
      <c r="I30" s="21">
        <f t="shared" si="7"/>
        <v>42138</v>
      </c>
      <c r="J30" s="21">
        <f t="shared" si="7"/>
        <v>68780</v>
      </c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0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scale="86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60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61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19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20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21</v>
      </c>
      <c r="B13" s="75">
        <f aca="true" t="shared" si="0" ref="B13:J13">SUM(B36,B52,B68,B84)</f>
        <v>0</v>
      </c>
      <c r="C13" s="64">
        <f t="shared" si="0"/>
        <v>1</v>
      </c>
      <c r="D13" s="64">
        <f t="shared" si="0"/>
        <v>1</v>
      </c>
      <c r="E13" s="75">
        <f t="shared" si="0"/>
        <v>483</v>
      </c>
      <c r="F13" s="64">
        <f t="shared" si="0"/>
        <v>1206</v>
      </c>
      <c r="G13" s="64">
        <f t="shared" si="0"/>
        <v>1689</v>
      </c>
      <c r="H13" s="75">
        <f t="shared" si="0"/>
        <v>483</v>
      </c>
      <c r="I13" s="64">
        <f t="shared" si="0"/>
        <v>1207</v>
      </c>
      <c r="J13" s="64">
        <f t="shared" si="0"/>
        <v>1690</v>
      </c>
    </row>
    <row r="14" spans="1:10" ht="12" customHeight="1">
      <c r="A14" s="58" t="s">
        <v>22</v>
      </c>
      <c r="B14" s="75">
        <f aca="true" t="shared" si="1" ref="B14:J14">SUM(B37,B53,B69,B85)</f>
        <v>606</v>
      </c>
      <c r="C14" s="64">
        <f t="shared" si="1"/>
        <v>1638</v>
      </c>
      <c r="D14" s="64">
        <f t="shared" si="1"/>
        <v>2244</v>
      </c>
      <c r="E14" s="75">
        <f t="shared" si="1"/>
        <v>1920</v>
      </c>
      <c r="F14" s="64">
        <f t="shared" si="1"/>
        <v>3515</v>
      </c>
      <c r="G14" s="64">
        <f t="shared" si="1"/>
        <v>5435</v>
      </c>
      <c r="H14" s="75">
        <f t="shared" si="1"/>
        <v>2526</v>
      </c>
      <c r="I14" s="64">
        <f t="shared" si="1"/>
        <v>5153</v>
      </c>
      <c r="J14" s="64">
        <f t="shared" si="1"/>
        <v>7679</v>
      </c>
    </row>
    <row r="15" spans="1:10" ht="12" customHeight="1">
      <c r="A15" s="58" t="s">
        <v>23</v>
      </c>
      <c r="B15" s="75">
        <f aca="true" t="shared" si="2" ref="B15:J15">SUM(B38,B54,B70,B86)</f>
        <v>2137</v>
      </c>
      <c r="C15" s="64">
        <f t="shared" si="2"/>
        <v>4398</v>
      </c>
      <c r="D15" s="64">
        <f t="shared" si="2"/>
        <v>6535</v>
      </c>
      <c r="E15" s="75">
        <f t="shared" si="2"/>
        <v>1204</v>
      </c>
      <c r="F15" s="64">
        <f t="shared" si="2"/>
        <v>1663</v>
      </c>
      <c r="G15" s="64">
        <f t="shared" si="2"/>
        <v>2867</v>
      </c>
      <c r="H15" s="75">
        <f t="shared" si="2"/>
        <v>3341</v>
      </c>
      <c r="I15" s="64">
        <f t="shared" si="2"/>
        <v>6061</v>
      </c>
      <c r="J15" s="64">
        <f t="shared" si="2"/>
        <v>9402</v>
      </c>
    </row>
    <row r="16" spans="1:10" ht="12" customHeight="1">
      <c r="A16" s="58" t="s">
        <v>24</v>
      </c>
      <c r="B16" s="73">
        <f aca="true" t="shared" si="3" ref="B16:J16">SUM(B39,B55,B71,B87)</f>
        <v>2179</v>
      </c>
      <c r="C16" s="64">
        <f t="shared" si="3"/>
        <v>4084</v>
      </c>
      <c r="D16" s="64">
        <f t="shared" si="3"/>
        <v>6263</v>
      </c>
      <c r="E16" s="75">
        <f t="shared" si="3"/>
        <v>574</v>
      </c>
      <c r="F16" s="64">
        <f t="shared" si="3"/>
        <v>745</v>
      </c>
      <c r="G16" s="64">
        <f t="shared" si="3"/>
        <v>1319</v>
      </c>
      <c r="H16" s="75">
        <f t="shared" si="3"/>
        <v>2753</v>
      </c>
      <c r="I16" s="64">
        <f t="shared" si="3"/>
        <v>4829</v>
      </c>
      <c r="J16" s="64">
        <f t="shared" si="3"/>
        <v>7582</v>
      </c>
    </row>
    <row r="17" spans="1:10" ht="12" customHeight="1">
      <c r="A17" s="58" t="s">
        <v>25</v>
      </c>
      <c r="B17" s="73">
        <f aca="true" t="shared" si="4" ref="B17:J17">SUM(B40,B56,B72,B88)</f>
        <v>2232</v>
      </c>
      <c r="C17" s="64">
        <f t="shared" si="4"/>
        <v>3930</v>
      </c>
      <c r="D17" s="64">
        <f t="shared" si="4"/>
        <v>6162</v>
      </c>
      <c r="E17" s="75">
        <f t="shared" si="4"/>
        <v>449</v>
      </c>
      <c r="F17" s="64">
        <f t="shared" si="4"/>
        <v>623</v>
      </c>
      <c r="G17" s="64">
        <f t="shared" si="4"/>
        <v>1072</v>
      </c>
      <c r="H17" s="75">
        <f t="shared" si="4"/>
        <v>2681</v>
      </c>
      <c r="I17" s="64">
        <f t="shared" si="4"/>
        <v>4553</v>
      </c>
      <c r="J17" s="64">
        <f t="shared" si="4"/>
        <v>7234</v>
      </c>
    </row>
    <row r="18" spans="1:10" ht="12" customHeight="1">
      <c r="A18" s="58" t="s">
        <v>26</v>
      </c>
      <c r="B18" s="73">
        <f aca="true" t="shared" si="5" ref="B18:J18">SUM(B41,B57,B73,B89)</f>
        <v>2472</v>
      </c>
      <c r="C18" s="64">
        <f t="shared" si="5"/>
        <v>3920</v>
      </c>
      <c r="D18" s="64">
        <f t="shared" si="5"/>
        <v>6392</v>
      </c>
      <c r="E18" s="75">
        <f t="shared" si="5"/>
        <v>363</v>
      </c>
      <c r="F18" s="64">
        <f t="shared" si="5"/>
        <v>448</v>
      </c>
      <c r="G18" s="64">
        <f t="shared" si="5"/>
        <v>811</v>
      </c>
      <c r="H18" s="75">
        <f t="shared" si="5"/>
        <v>2835</v>
      </c>
      <c r="I18" s="64">
        <f t="shared" si="5"/>
        <v>4368</v>
      </c>
      <c r="J18" s="64">
        <f t="shared" si="5"/>
        <v>7203</v>
      </c>
    </row>
    <row r="19" spans="1:10" ht="12" customHeight="1">
      <c r="A19" s="58" t="s">
        <v>27</v>
      </c>
      <c r="B19" s="73">
        <f aca="true" t="shared" si="6" ref="B19:J19">SUM(B42,B58,B74,B90)</f>
        <v>3299</v>
      </c>
      <c r="C19" s="64">
        <f t="shared" si="6"/>
        <v>4774</v>
      </c>
      <c r="D19" s="64">
        <f t="shared" si="6"/>
        <v>8073</v>
      </c>
      <c r="E19" s="75">
        <f t="shared" si="6"/>
        <v>240</v>
      </c>
      <c r="F19" s="64">
        <f t="shared" si="6"/>
        <v>233</v>
      </c>
      <c r="G19" s="64">
        <f t="shared" si="6"/>
        <v>473</v>
      </c>
      <c r="H19" s="75">
        <f t="shared" si="6"/>
        <v>3539</v>
      </c>
      <c r="I19" s="64">
        <f t="shared" si="6"/>
        <v>5007</v>
      </c>
      <c r="J19" s="64">
        <f t="shared" si="6"/>
        <v>8546</v>
      </c>
    </row>
    <row r="20" spans="1:10" ht="12" customHeight="1">
      <c r="A20" s="58" t="s">
        <v>28</v>
      </c>
      <c r="B20" s="73">
        <f aca="true" t="shared" si="7" ref="B20:J20">SUM(B43,B59,B75,B91)</f>
        <v>4302</v>
      </c>
      <c r="C20" s="64">
        <f t="shared" si="7"/>
        <v>5187</v>
      </c>
      <c r="D20" s="64">
        <f t="shared" si="7"/>
        <v>9489</v>
      </c>
      <c r="E20" s="75">
        <f t="shared" si="7"/>
        <v>114</v>
      </c>
      <c r="F20" s="64">
        <f t="shared" si="7"/>
        <v>57</v>
      </c>
      <c r="G20" s="64">
        <f t="shared" si="7"/>
        <v>171</v>
      </c>
      <c r="H20" s="75">
        <f t="shared" si="7"/>
        <v>4416</v>
      </c>
      <c r="I20" s="64">
        <f t="shared" si="7"/>
        <v>5244</v>
      </c>
      <c r="J20" s="64">
        <f t="shared" si="7"/>
        <v>9660</v>
      </c>
    </row>
    <row r="21" spans="1:10" ht="12" customHeight="1">
      <c r="A21" s="58" t="s">
        <v>29</v>
      </c>
      <c r="B21" s="73">
        <f aca="true" t="shared" si="8" ref="B21:J21">SUM(B44,B60,B76,B92)</f>
        <v>1478</v>
      </c>
      <c r="C21" s="64">
        <f t="shared" si="8"/>
        <v>1229</v>
      </c>
      <c r="D21" s="76">
        <f t="shared" si="8"/>
        <v>2707</v>
      </c>
      <c r="E21" s="75">
        <f t="shared" si="8"/>
        <v>72</v>
      </c>
      <c r="F21" s="64">
        <f t="shared" si="8"/>
        <v>38</v>
      </c>
      <c r="G21" s="76">
        <f t="shared" si="8"/>
        <v>110</v>
      </c>
      <c r="H21" s="75">
        <f t="shared" si="8"/>
        <v>1550</v>
      </c>
      <c r="I21" s="64">
        <f t="shared" si="8"/>
        <v>1267</v>
      </c>
      <c r="J21" s="76">
        <f t="shared" si="8"/>
        <v>2817</v>
      </c>
    </row>
    <row r="22" spans="1:10" ht="12" customHeight="1">
      <c r="A22" s="77" t="s">
        <v>5</v>
      </c>
      <c r="B22" s="78">
        <f aca="true" t="shared" si="9" ref="B22:J22">SUM(B45,B61,B77,B93)</f>
        <v>18705</v>
      </c>
      <c r="C22" s="79">
        <f t="shared" si="9"/>
        <v>29161</v>
      </c>
      <c r="D22" s="79">
        <f t="shared" si="9"/>
        <v>47866</v>
      </c>
      <c r="E22" s="78">
        <f t="shared" si="9"/>
        <v>5419</v>
      </c>
      <c r="F22" s="79">
        <f t="shared" si="9"/>
        <v>8528</v>
      </c>
      <c r="G22" s="79">
        <f t="shared" si="9"/>
        <v>13947</v>
      </c>
      <c r="H22" s="78">
        <f t="shared" si="9"/>
        <v>24124</v>
      </c>
      <c r="I22" s="79">
        <f t="shared" si="9"/>
        <v>37689</v>
      </c>
      <c r="J22" s="79">
        <f t="shared" si="9"/>
        <v>61813</v>
      </c>
    </row>
    <row r="24" spans="1:10" ht="12" customHeight="1">
      <c r="A24" s="1" t="s">
        <v>60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61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32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20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21</v>
      </c>
      <c r="B36" s="75">
        <f>0-0</f>
        <v>0</v>
      </c>
      <c r="C36" s="64">
        <f>0-0</f>
        <v>0</v>
      </c>
      <c r="D36" s="64">
        <f>SUM(B36:C36)</f>
        <v>0</v>
      </c>
      <c r="E36" s="75">
        <f>120-0</f>
        <v>120</v>
      </c>
      <c r="F36" s="64">
        <f>266-2</f>
        <v>264</v>
      </c>
      <c r="G36" s="64">
        <f aca="true" t="shared" si="10" ref="G36:G44">SUM(E36:F36)</f>
        <v>384</v>
      </c>
      <c r="H36" s="75">
        <f>SUM(B36,E36)</f>
        <v>120</v>
      </c>
      <c r="I36" s="64">
        <f>SUM(C36,F36)</f>
        <v>264</v>
      </c>
      <c r="J36" s="64">
        <f aca="true" t="shared" si="11" ref="J36:J44">SUM(H36:I36)</f>
        <v>384</v>
      </c>
    </row>
    <row r="37" spans="1:10" ht="12" customHeight="1">
      <c r="A37" s="58" t="s">
        <v>22</v>
      </c>
      <c r="B37" s="75">
        <f>127-0</f>
        <v>127</v>
      </c>
      <c r="C37" s="64">
        <f>346-1</f>
        <v>345</v>
      </c>
      <c r="D37" s="64">
        <f aca="true" t="shared" si="12" ref="D37:D44">SUM(B37:C37)</f>
        <v>472</v>
      </c>
      <c r="E37" s="75">
        <f>524-1</f>
        <v>523</v>
      </c>
      <c r="F37" s="64">
        <f>787-7</f>
        <v>780</v>
      </c>
      <c r="G37" s="64">
        <f t="shared" si="10"/>
        <v>1303</v>
      </c>
      <c r="H37" s="75">
        <f aca="true" t="shared" si="13" ref="H37:I44">SUM(B37,E37)</f>
        <v>650</v>
      </c>
      <c r="I37" s="64">
        <f t="shared" si="13"/>
        <v>1125</v>
      </c>
      <c r="J37" s="64">
        <f t="shared" si="11"/>
        <v>1775</v>
      </c>
    </row>
    <row r="38" spans="1:10" ht="12" customHeight="1">
      <c r="A38" s="58" t="s">
        <v>23</v>
      </c>
      <c r="B38" s="75">
        <f>420-1</f>
        <v>419</v>
      </c>
      <c r="C38" s="64">
        <f>873-4</f>
        <v>869</v>
      </c>
      <c r="D38" s="64">
        <f t="shared" si="12"/>
        <v>1288</v>
      </c>
      <c r="E38" s="75">
        <f>379-2</f>
        <v>377</v>
      </c>
      <c r="F38" s="64">
        <f>453-11</f>
        <v>442</v>
      </c>
      <c r="G38" s="64">
        <f t="shared" si="10"/>
        <v>819</v>
      </c>
      <c r="H38" s="75">
        <f t="shared" si="13"/>
        <v>796</v>
      </c>
      <c r="I38" s="64">
        <f t="shared" si="13"/>
        <v>1311</v>
      </c>
      <c r="J38" s="64">
        <f t="shared" si="11"/>
        <v>2107</v>
      </c>
    </row>
    <row r="39" spans="1:10" ht="12" customHeight="1">
      <c r="A39" s="58" t="s">
        <v>24</v>
      </c>
      <c r="B39" s="73">
        <f>459-3</f>
        <v>456</v>
      </c>
      <c r="C39" s="64">
        <f>763-5</f>
        <v>758</v>
      </c>
      <c r="D39" s="64">
        <f t="shared" si="12"/>
        <v>1214</v>
      </c>
      <c r="E39" s="75">
        <f>168-6</f>
        <v>162</v>
      </c>
      <c r="F39" s="64">
        <f>227-9</f>
        <v>218</v>
      </c>
      <c r="G39" s="64">
        <f t="shared" si="10"/>
        <v>380</v>
      </c>
      <c r="H39" s="75">
        <f t="shared" si="13"/>
        <v>618</v>
      </c>
      <c r="I39" s="64">
        <f t="shared" si="13"/>
        <v>976</v>
      </c>
      <c r="J39" s="64">
        <f t="shared" si="11"/>
        <v>1594</v>
      </c>
    </row>
    <row r="40" spans="1:10" ht="12" customHeight="1">
      <c r="A40" s="58" t="s">
        <v>25</v>
      </c>
      <c r="B40" s="73">
        <f>393-0</f>
        <v>393</v>
      </c>
      <c r="C40" s="64">
        <f>732-12</f>
        <v>720</v>
      </c>
      <c r="D40" s="64">
        <f t="shared" si="12"/>
        <v>1113</v>
      </c>
      <c r="E40" s="75">
        <f>145-2</f>
        <v>143</v>
      </c>
      <c r="F40" s="64">
        <f>174-6</f>
        <v>168</v>
      </c>
      <c r="G40" s="64">
        <f t="shared" si="10"/>
        <v>311</v>
      </c>
      <c r="H40" s="75">
        <f t="shared" si="13"/>
        <v>536</v>
      </c>
      <c r="I40" s="64">
        <f t="shared" si="13"/>
        <v>888</v>
      </c>
      <c r="J40" s="64">
        <f t="shared" si="11"/>
        <v>1424</v>
      </c>
    </row>
    <row r="41" spans="1:10" ht="12" customHeight="1">
      <c r="A41" s="58" t="s">
        <v>26</v>
      </c>
      <c r="B41" s="73">
        <f>347-2</f>
        <v>345</v>
      </c>
      <c r="C41" s="64">
        <f>581-10</f>
        <v>571</v>
      </c>
      <c r="D41" s="64">
        <f t="shared" si="12"/>
        <v>916</v>
      </c>
      <c r="E41" s="75">
        <f>116-2</f>
        <v>114</v>
      </c>
      <c r="F41" s="64">
        <f>128-8</f>
        <v>120</v>
      </c>
      <c r="G41" s="64">
        <f t="shared" si="10"/>
        <v>234</v>
      </c>
      <c r="H41" s="75">
        <f t="shared" si="13"/>
        <v>459</v>
      </c>
      <c r="I41" s="64">
        <f t="shared" si="13"/>
        <v>691</v>
      </c>
      <c r="J41" s="64">
        <f t="shared" si="11"/>
        <v>1150</v>
      </c>
    </row>
    <row r="42" spans="1:10" ht="12" customHeight="1">
      <c r="A42" s="58" t="s">
        <v>27</v>
      </c>
      <c r="B42" s="73">
        <f>346-1</f>
        <v>345</v>
      </c>
      <c r="C42" s="64">
        <f>623-6</f>
        <v>617</v>
      </c>
      <c r="D42" s="64">
        <f t="shared" si="12"/>
        <v>962</v>
      </c>
      <c r="E42" s="75">
        <f>77-0</f>
        <v>77</v>
      </c>
      <c r="F42" s="64">
        <f>78-2</f>
        <v>76</v>
      </c>
      <c r="G42" s="64">
        <f t="shared" si="10"/>
        <v>153</v>
      </c>
      <c r="H42" s="75">
        <f t="shared" si="13"/>
        <v>422</v>
      </c>
      <c r="I42" s="64">
        <f t="shared" si="13"/>
        <v>693</v>
      </c>
      <c r="J42" s="64">
        <f t="shared" si="11"/>
        <v>1115</v>
      </c>
    </row>
    <row r="43" spans="1:10" ht="12" customHeight="1">
      <c r="A43" s="58" t="s">
        <v>28</v>
      </c>
      <c r="B43" s="73">
        <f>855-2</f>
        <v>853</v>
      </c>
      <c r="C43" s="64">
        <f>1096-6</f>
        <v>1090</v>
      </c>
      <c r="D43" s="64">
        <f t="shared" si="12"/>
        <v>1943</v>
      </c>
      <c r="E43" s="75">
        <f>49-0</f>
        <v>49</v>
      </c>
      <c r="F43" s="64">
        <f>18-0</f>
        <v>18</v>
      </c>
      <c r="G43" s="64">
        <f t="shared" si="10"/>
        <v>67</v>
      </c>
      <c r="H43" s="75">
        <f t="shared" si="13"/>
        <v>902</v>
      </c>
      <c r="I43" s="64">
        <f t="shared" si="13"/>
        <v>1108</v>
      </c>
      <c r="J43" s="64">
        <f t="shared" si="11"/>
        <v>2010</v>
      </c>
    </row>
    <row r="44" spans="1:10" ht="12" customHeight="1">
      <c r="A44" s="58" t="s">
        <v>29</v>
      </c>
      <c r="B44" s="73">
        <f>362+11-2</f>
        <v>371</v>
      </c>
      <c r="C44" s="64">
        <f>322+5-8</f>
        <v>319</v>
      </c>
      <c r="D44" s="76">
        <f t="shared" si="12"/>
        <v>690</v>
      </c>
      <c r="E44" s="75">
        <f>13+5-0</f>
        <v>18</v>
      </c>
      <c r="F44" s="64">
        <f>4+3-0</f>
        <v>7</v>
      </c>
      <c r="G44" s="76">
        <f t="shared" si="10"/>
        <v>25</v>
      </c>
      <c r="H44" s="75">
        <f t="shared" si="13"/>
        <v>389</v>
      </c>
      <c r="I44" s="64">
        <f t="shared" si="13"/>
        <v>326</v>
      </c>
      <c r="J44" s="76">
        <f t="shared" si="11"/>
        <v>715</v>
      </c>
    </row>
    <row r="45" spans="1:10" ht="12" customHeight="1">
      <c r="A45" s="77" t="s">
        <v>5</v>
      </c>
      <c r="B45" s="78">
        <f aca="true" t="shared" si="14" ref="B45:J45">SUM(B36:B44)</f>
        <v>3309</v>
      </c>
      <c r="C45" s="79">
        <f t="shared" si="14"/>
        <v>5289</v>
      </c>
      <c r="D45" s="79">
        <f t="shared" si="14"/>
        <v>8598</v>
      </c>
      <c r="E45" s="78">
        <f t="shared" si="14"/>
        <v>1583</v>
      </c>
      <c r="F45" s="79">
        <f t="shared" si="14"/>
        <v>2093</v>
      </c>
      <c r="G45" s="79">
        <f t="shared" si="14"/>
        <v>3676</v>
      </c>
      <c r="H45" s="78">
        <f t="shared" si="14"/>
        <v>4892</v>
      </c>
      <c r="I45" s="79">
        <f t="shared" si="14"/>
        <v>7382</v>
      </c>
      <c r="J45" s="79">
        <f t="shared" si="14"/>
        <v>12274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20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21</v>
      </c>
      <c r="B52" s="75">
        <f>0-0</f>
        <v>0</v>
      </c>
      <c r="C52" s="64">
        <f>1-0</f>
        <v>1</v>
      </c>
      <c r="D52" s="64">
        <f>SUM(B52:C52)</f>
        <v>1</v>
      </c>
      <c r="E52" s="75">
        <f>327-1</f>
        <v>326</v>
      </c>
      <c r="F52" s="64">
        <f>870-2</f>
        <v>868</v>
      </c>
      <c r="G52" s="64">
        <f aca="true" t="shared" si="15" ref="G52:G60">SUM(E52:F52)</f>
        <v>1194</v>
      </c>
      <c r="H52" s="75">
        <f>SUM(B52,E52)</f>
        <v>326</v>
      </c>
      <c r="I52" s="64">
        <f>SUM(C52,F52)</f>
        <v>869</v>
      </c>
      <c r="J52" s="64">
        <f aca="true" t="shared" si="16" ref="J52:J60">SUM(H52:I52)</f>
        <v>1195</v>
      </c>
    </row>
    <row r="53" spans="1:10" ht="12" customHeight="1">
      <c r="A53" s="58" t="s">
        <v>22</v>
      </c>
      <c r="B53" s="75">
        <f>431-0</f>
        <v>431</v>
      </c>
      <c r="C53" s="64">
        <f>1213-7</f>
        <v>1206</v>
      </c>
      <c r="D53" s="64">
        <f aca="true" t="shared" si="17" ref="D53:D59">SUM(B53:C53)</f>
        <v>1637</v>
      </c>
      <c r="E53" s="75">
        <f>1232-7</f>
        <v>1225</v>
      </c>
      <c r="F53" s="64">
        <f>2541-46</f>
        <v>2495</v>
      </c>
      <c r="G53" s="64">
        <f t="shared" si="15"/>
        <v>3720</v>
      </c>
      <c r="H53" s="75">
        <f aca="true" t="shared" si="18" ref="H53:I60">SUM(B53,E53)</f>
        <v>1656</v>
      </c>
      <c r="I53" s="64">
        <f t="shared" si="18"/>
        <v>3701</v>
      </c>
      <c r="J53" s="64">
        <f t="shared" si="16"/>
        <v>5357</v>
      </c>
    </row>
    <row r="54" spans="1:10" ht="12" customHeight="1">
      <c r="A54" s="58" t="s">
        <v>23</v>
      </c>
      <c r="B54" s="75">
        <f>1514-7</f>
        <v>1507</v>
      </c>
      <c r="C54" s="64">
        <f>3293-43</f>
        <v>3250</v>
      </c>
      <c r="D54" s="64">
        <f t="shared" si="17"/>
        <v>4757</v>
      </c>
      <c r="E54" s="75">
        <f>696-5</f>
        <v>691</v>
      </c>
      <c r="F54" s="64">
        <f>1115-53</f>
        <v>1062</v>
      </c>
      <c r="G54" s="64">
        <f t="shared" si="15"/>
        <v>1753</v>
      </c>
      <c r="H54" s="75">
        <f t="shared" si="18"/>
        <v>2198</v>
      </c>
      <c r="I54" s="64">
        <f t="shared" si="18"/>
        <v>4312</v>
      </c>
      <c r="J54" s="64">
        <f t="shared" si="16"/>
        <v>6510</v>
      </c>
    </row>
    <row r="55" spans="1:10" ht="12" customHeight="1">
      <c r="A55" s="58" t="s">
        <v>24</v>
      </c>
      <c r="B55" s="73">
        <f>1494-6</f>
        <v>1488</v>
      </c>
      <c r="C55" s="64">
        <f>3098-96</f>
        <v>3002</v>
      </c>
      <c r="D55" s="64">
        <f t="shared" si="17"/>
        <v>4490</v>
      </c>
      <c r="E55" s="75">
        <f>313-9</f>
        <v>304</v>
      </c>
      <c r="F55" s="64">
        <f>511-66</f>
        <v>445</v>
      </c>
      <c r="G55" s="64">
        <f t="shared" si="15"/>
        <v>749</v>
      </c>
      <c r="H55" s="75">
        <f t="shared" si="18"/>
        <v>1792</v>
      </c>
      <c r="I55" s="64">
        <f t="shared" si="18"/>
        <v>3447</v>
      </c>
      <c r="J55" s="64">
        <f t="shared" si="16"/>
        <v>5239</v>
      </c>
    </row>
    <row r="56" spans="1:10" ht="12" customHeight="1">
      <c r="A56" s="58" t="s">
        <v>25</v>
      </c>
      <c r="B56" s="73">
        <f>1609-13</f>
        <v>1596</v>
      </c>
      <c r="C56" s="64">
        <f>3035-114</f>
        <v>2921</v>
      </c>
      <c r="D56" s="64">
        <f t="shared" si="17"/>
        <v>4517</v>
      </c>
      <c r="E56" s="75">
        <f>245-12</f>
        <v>233</v>
      </c>
      <c r="F56" s="64">
        <f>431-42</f>
        <v>389</v>
      </c>
      <c r="G56" s="64">
        <f t="shared" si="15"/>
        <v>622</v>
      </c>
      <c r="H56" s="75">
        <f t="shared" si="18"/>
        <v>1829</v>
      </c>
      <c r="I56" s="64">
        <f t="shared" si="18"/>
        <v>3310</v>
      </c>
      <c r="J56" s="64">
        <f t="shared" si="16"/>
        <v>5139</v>
      </c>
    </row>
    <row r="57" spans="1:10" ht="12" customHeight="1">
      <c r="A57" s="58" t="s">
        <v>26</v>
      </c>
      <c r="B57" s="73">
        <f>1870-19</f>
        <v>1851</v>
      </c>
      <c r="C57" s="64">
        <f>3195-119</f>
        <v>3076</v>
      </c>
      <c r="D57" s="64">
        <f t="shared" si="17"/>
        <v>4927</v>
      </c>
      <c r="E57" s="75">
        <f>203-5</f>
        <v>198</v>
      </c>
      <c r="F57" s="64">
        <f>304-27</f>
        <v>277</v>
      </c>
      <c r="G57" s="64">
        <f t="shared" si="15"/>
        <v>475</v>
      </c>
      <c r="H57" s="75">
        <f t="shared" si="18"/>
        <v>2049</v>
      </c>
      <c r="I57" s="64">
        <f t="shared" si="18"/>
        <v>3353</v>
      </c>
      <c r="J57" s="64">
        <f t="shared" si="16"/>
        <v>5402</v>
      </c>
    </row>
    <row r="58" spans="1:10" ht="12" customHeight="1">
      <c r="A58" s="58" t="s">
        <v>27</v>
      </c>
      <c r="B58" s="73">
        <f>2550-9</f>
        <v>2541</v>
      </c>
      <c r="C58" s="64">
        <f>3765-77</f>
        <v>3688</v>
      </c>
      <c r="D58" s="64">
        <f t="shared" si="17"/>
        <v>6229</v>
      </c>
      <c r="E58" s="75">
        <f>128-5</f>
        <v>123</v>
      </c>
      <c r="F58" s="64">
        <f>131-6</f>
        <v>125</v>
      </c>
      <c r="G58" s="64">
        <f t="shared" si="15"/>
        <v>248</v>
      </c>
      <c r="H58" s="75">
        <f t="shared" si="18"/>
        <v>2664</v>
      </c>
      <c r="I58" s="64">
        <f t="shared" si="18"/>
        <v>3813</v>
      </c>
      <c r="J58" s="64">
        <f t="shared" si="16"/>
        <v>6477</v>
      </c>
    </row>
    <row r="59" spans="1:10" ht="12" customHeight="1">
      <c r="A59" s="58" t="s">
        <v>28</v>
      </c>
      <c r="B59" s="73">
        <f>2963-13</f>
        <v>2950</v>
      </c>
      <c r="C59" s="64">
        <f>3765-96</f>
        <v>3669</v>
      </c>
      <c r="D59" s="64">
        <f t="shared" si="17"/>
        <v>6619</v>
      </c>
      <c r="E59" s="75">
        <f>51-4</f>
        <v>47</v>
      </c>
      <c r="F59" s="64">
        <f>32-3</f>
        <v>29</v>
      </c>
      <c r="G59" s="64">
        <f t="shared" si="15"/>
        <v>76</v>
      </c>
      <c r="H59" s="75">
        <f t="shared" si="18"/>
        <v>2997</v>
      </c>
      <c r="I59" s="64">
        <f t="shared" si="18"/>
        <v>3698</v>
      </c>
      <c r="J59" s="64">
        <f t="shared" si="16"/>
        <v>6695</v>
      </c>
    </row>
    <row r="60" spans="1:10" ht="12" customHeight="1">
      <c r="A60" s="58" t="s">
        <v>29</v>
      </c>
      <c r="B60" s="73">
        <f>885+36-6</f>
        <v>915</v>
      </c>
      <c r="C60" s="64">
        <f>789+12-30</f>
        <v>771</v>
      </c>
      <c r="D60" s="76">
        <f>SUM(B60:C60)</f>
        <v>1686</v>
      </c>
      <c r="E60" s="75">
        <f>24+14-0</f>
        <v>38</v>
      </c>
      <c r="F60" s="64">
        <f>21+4-0</f>
        <v>25</v>
      </c>
      <c r="G60" s="76">
        <f t="shared" si="15"/>
        <v>63</v>
      </c>
      <c r="H60" s="75">
        <f t="shared" si="18"/>
        <v>953</v>
      </c>
      <c r="I60" s="64">
        <f t="shared" si="18"/>
        <v>796</v>
      </c>
      <c r="J60" s="76">
        <f t="shared" si="16"/>
        <v>1749</v>
      </c>
    </row>
    <row r="61" spans="1:10" ht="12" customHeight="1">
      <c r="A61" s="77" t="s">
        <v>5</v>
      </c>
      <c r="B61" s="78">
        <f aca="true" t="shared" si="19" ref="B61:J61">SUM(B52:B60)</f>
        <v>13279</v>
      </c>
      <c r="C61" s="79">
        <f t="shared" si="19"/>
        <v>21584</v>
      </c>
      <c r="D61" s="79">
        <f t="shared" si="19"/>
        <v>34863</v>
      </c>
      <c r="E61" s="78">
        <f t="shared" si="19"/>
        <v>3185</v>
      </c>
      <c r="F61" s="79">
        <f t="shared" si="19"/>
        <v>5715</v>
      </c>
      <c r="G61" s="79">
        <f t="shared" si="19"/>
        <v>8900</v>
      </c>
      <c r="H61" s="78">
        <f t="shared" si="19"/>
        <v>16464</v>
      </c>
      <c r="I61" s="79">
        <f t="shared" si="19"/>
        <v>27299</v>
      </c>
      <c r="J61" s="79">
        <f t="shared" si="19"/>
        <v>43763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20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21</v>
      </c>
      <c r="B68" s="75">
        <f>0-0</f>
        <v>0</v>
      </c>
      <c r="C68" s="64">
        <f>0-0</f>
        <v>0</v>
      </c>
      <c r="D68" s="64">
        <f>SUM(B68:C68)</f>
        <v>0</v>
      </c>
      <c r="E68" s="75">
        <f>16-0</f>
        <v>16</v>
      </c>
      <c r="F68" s="64">
        <f>36-1</f>
        <v>35</v>
      </c>
      <c r="G68" s="64">
        <f aca="true" t="shared" si="20" ref="G68:G76">SUM(E68:F68)</f>
        <v>51</v>
      </c>
      <c r="H68" s="75">
        <f>SUM(B68,E68)</f>
        <v>16</v>
      </c>
      <c r="I68" s="64">
        <f>SUM(C68,F68)</f>
        <v>35</v>
      </c>
      <c r="J68" s="64">
        <f aca="true" t="shared" si="21" ref="J68:J76">SUM(H68:I68)</f>
        <v>51</v>
      </c>
    </row>
    <row r="69" spans="1:10" ht="12" customHeight="1">
      <c r="A69" s="58" t="s">
        <v>22</v>
      </c>
      <c r="B69" s="75">
        <f>22-0</f>
        <v>22</v>
      </c>
      <c r="C69" s="64">
        <f>38-1</f>
        <v>37</v>
      </c>
      <c r="D69" s="64">
        <f aca="true" t="shared" si="22" ref="D69:D76">SUM(B69:C69)</f>
        <v>59</v>
      </c>
      <c r="E69" s="75">
        <f>70-0</f>
        <v>70</v>
      </c>
      <c r="F69" s="64">
        <f>81-1</f>
        <v>80</v>
      </c>
      <c r="G69" s="64">
        <f t="shared" si="20"/>
        <v>150</v>
      </c>
      <c r="H69" s="75">
        <f aca="true" t="shared" si="23" ref="H69:I76">SUM(B69,E69)</f>
        <v>92</v>
      </c>
      <c r="I69" s="64">
        <f t="shared" si="23"/>
        <v>117</v>
      </c>
      <c r="J69" s="64">
        <f t="shared" si="21"/>
        <v>209</v>
      </c>
    </row>
    <row r="70" spans="1:10" ht="12" customHeight="1">
      <c r="A70" s="58" t="s">
        <v>23</v>
      </c>
      <c r="B70" s="75">
        <f>79-0</f>
        <v>79</v>
      </c>
      <c r="C70" s="64">
        <f>125-0</f>
        <v>125</v>
      </c>
      <c r="D70" s="64">
        <f t="shared" si="22"/>
        <v>204</v>
      </c>
      <c r="E70" s="75">
        <f>58-0</f>
        <v>58</v>
      </c>
      <c r="F70" s="64">
        <f>59-2</f>
        <v>57</v>
      </c>
      <c r="G70" s="64">
        <f t="shared" si="20"/>
        <v>115</v>
      </c>
      <c r="H70" s="75">
        <f t="shared" si="23"/>
        <v>137</v>
      </c>
      <c r="I70" s="64">
        <f t="shared" si="23"/>
        <v>182</v>
      </c>
      <c r="J70" s="64">
        <f t="shared" si="21"/>
        <v>319</v>
      </c>
    </row>
    <row r="71" spans="1:10" ht="12" customHeight="1">
      <c r="A71" s="58" t="s">
        <v>24</v>
      </c>
      <c r="B71" s="73">
        <f>116-3</f>
        <v>113</v>
      </c>
      <c r="C71" s="64">
        <f>137-10</f>
        <v>127</v>
      </c>
      <c r="D71" s="64">
        <f t="shared" si="22"/>
        <v>240</v>
      </c>
      <c r="E71" s="75">
        <f>45-0</f>
        <v>45</v>
      </c>
      <c r="F71" s="64">
        <f>35-4</f>
        <v>31</v>
      </c>
      <c r="G71" s="64">
        <f t="shared" si="20"/>
        <v>76</v>
      </c>
      <c r="H71" s="75">
        <f t="shared" si="23"/>
        <v>158</v>
      </c>
      <c r="I71" s="64">
        <f t="shared" si="23"/>
        <v>158</v>
      </c>
      <c r="J71" s="64">
        <f t="shared" si="21"/>
        <v>316</v>
      </c>
    </row>
    <row r="72" spans="1:10" ht="12" customHeight="1">
      <c r="A72" s="58" t="s">
        <v>25</v>
      </c>
      <c r="B72" s="73">
        <f>108-4</f>
        <v>104</v>
      </c>
      <c r="C72" s="64">
        <f>117-14</f>
        <v>103</v>
      </c>
      <c r="D72" s="64">
        <f t="shared" si="22"/>
        <v>207</v>
      </c>
      <c r="E72" s="75">
        <f>18-0</f>
        <v>18</v>
      </c>
      <c r="F72" s="64">
        <f>32-4</f>
        <v>28</v>
      </c>
      <c r="G72" s="64">
        <f t="shared" si="20"/>
        <v>46</v>
      </c>
      <c r="H72" s="75">
        <f t="shared" si="23"/>
        <v>122</v>
      </c>
      <c r="I72" s="64">
        <f t="shared" si="23"/>
        <v>131</v>
      </c>
      <c r="J72" s="64">
        <f t="shared" si="21"/>
        <v>253</v>
      </c>
    </row>
    <row r="73" spans="1:10" ht="12" customHeight="1">
      <c r="A73" s="58" t="s">
        <v>26</v>
      </c>
      <c r="B73" s="73">
        <f>117-3</f>
        <v>114</v>
      </c>
      <c r="C73" s="64">
        <f>117-13</f>
        <v>104</v>
      </c>
      <c r="D73" s="64">
        <f t="shared" si="22"/>
        <v>218</v>
      </c>
      <c r="E73" s="75">
        <f>15-1</f>
        <v>14</v>
      </c>
      <c r="F73" s="64">
        <f>23-3</f>
        <v>20</v>
      </c>
      <c r="G73" s="64">
        <f t="shared" si="20"/>
        <v>34</v>
      </c>
      <c r="H73" s="75">
        <f t="shared" si="23"/>
        <v>128</v>
      </c>
      <c r="I73" s="64">
        <f t="shared" si="23"/>
        <v>124</v>
      </c>
      <c r="J73" s="64">
        <f t="shared" si="21"/>
        <v>252</v>
      </c>
    </row>
    <row r="74" spans="1:10" ht="12" customHeight="1">
      <c r="A74" s="58" t="s">
        <v>27</v>
      </c>
      <c r="B74" s="73">
        <f>200-0</f>
        <v>200</v>
      </c>
      <c r="C74" s="64">
        <f>220-12</f>
        <v>208</v>
      </c>
      <c r="D74" s="64">
        <f t="shared" si="22"/>
        <v>408</v>
      </c>
      <c r="E74" s="75">
        <f>18-0</f>
        <v>18</v>
      </c>
      <c r="F74" s="64">
        <f>11-0</f>
        <v>11</v>
      </c>
      <c r="G74" s="64">
        <f t="shared" si="20"/>
        <v>29</v>
      </c>
      <c r="H74" s="75">
        <f t="shared" si="23"/>
        <v>218</v>
      </c>
      <c r="I74" s="64">
        <f t="shared" si="23"/>
        <v>219</v>
      </c>
      <c r="J74" s="64">
        <f t="shared" si="21"/>
        <v>437</v>
      </c>
    </row>
    <row r="75" spans="1:10" ht="12" customHeight="1">
      <c r="A75" s="58" t="s">
        <v>28</v>
      </c>
      <c r="B75" s="73">
        <f>212-1</f>
        <v>211</v>
      </c>
      <c r="C75" s="64">
        <f>145-7</f>
        <v>138</v>
      </c>
      <c r="D75" s="64">
        <f t="shared" si="22"/>
        <v>349</v>
      </c>
      <c r="E75" s="75">
        <f>4-0</f>
        <v>4</v>
      </c>
      <c r="F75" s="64">
        <f>3-0</f>
        <v>3</v>
      </c>
      <c r="G75" s="64">
        <f t="shared" si="20"/>
        <v>7</v>
      </c>
      <c r="H75" s="75">
        <f t="shared" si="23"/>
        <v>215</v>
      </c>
      <c r="I75" s="64">
        <f t="shared" si="23"/>
        <v>141</v>
      </c>
      <c r="J75" s="64">
        <f t="shared" si="21"/>
        <v>356</v>
      </c>
    </row>
    <row r="76" spans="1:10" ht="12" customHeight="1">
      <c r="A76" s="58" t="s">
        <v>29</v>
      </c>
      <c r="B76" s="73">
        <f>67+1-0</f>
        <v>68</v>
      </c>
      <c r="C76" s="64">
        <f>33+1-2</f>
        <v>32</v>
      </c>
      <c r="D76" s="76">
        <f t="shared" si="22"/>
        <v>100</v>
      </c>
      <c r="E76" s="75">
        <f>3+2-0</f>
        <v>5</v>
      </c>
      <c r="F76" s="64">
        <f>2-1</f>
        <v>1</v>
      </c>
      <c r="G76" s="76">
        <f t="shared" si="20"/>
        <v>6</v>
      </c>
      <c r="H76" s="75">
        <f t="shared" si="23"/>
        <v>73</v>
      </c>
      <c r="I76" s="64">
        <f t="shared" si="23"/>
        <v>33</v>
      </c>
      <c r="J76" s="76">
        <f t="shared" si="21"/>
        <v>106</v>
      </c>
    </row>
    <row r="77" spans="1:10" ht="12" customHeight="1">
      <c r="A77" s="77" t="s">
        <v>5</v>
      </c>
      <c r="B77" s="78">
        <f aca="true" t="shared" si="24" ref="B77:J77">SUM(B68:B76)</f>
        <v>911</v>
      </c>
      <c r="C77" s="79">
        <f t="shared" si="24"/>
        <v>874</v>
      </c>
      <c r="D77" s="79">
        <f t="shared" si="24"/>
        <v>1785</v>
      </c>
      <c r="E77" s="78">
        <f t="shared" si="24"/>
        <v>248</v>
      </c>
      <c r="F77" s="79">
        <f t="shared" si="24"/>
        <v>266</v>
      </c>
      <c r="G77" s="79">
        <f t="shared" si="24"/>
        <v>514</v>
      </c>
      <c r="H77" s="78">
        <f t="shared" si="24"/>
        <v>1159</v>
      </c>
      <c r="I77" s="79">
        <f t="shared" si="24"/>
        <v>1140</v>
      </c>
      <c r="J77" s="79">
        <f t="shared" si="24"/>
        <v>2299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20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21</v>
      </c>
      <c r="B84" s="75">
        <f>0-0</f>
        <v>0</v>
      </c>
      <c r="C84" s="64">
        <f>0-0</f>
        <v>0</v>
      </c>
      <c r="D84" s="64">
        <f>SUM(B84:C84)</f>
        <v>0</v>
      </c>
      <c r="E84" s="75">
        <f>21-0</f>
        <v>21</v>
      </c>
      <c r="F84" s="64">
        <f>39-0</f>
        <v>39</v>
      </c>
      <c r="G84" s="64">
        <f aca="true" t="shared" si="25" ref="G84:G92">SUM(E84:F84)</f>
        <v>60</v>
      </c>
      <c r="H84" s="75">
        <f>SUM(B84,E84)</f>
        <v>21</v>
      </c>
      <c r="I84" s="64">
        <f>SUM(C84,F84)</f>
        <v>39</v>
      </c>
      <c r="J84" s="64">
        <f aca="true" t="shared" si="26" ref="J84:J92">SUM(H84:I84)</f>
        <v>60</v>
      </c>
    </row>
    <row r="85" spans="1:10" ht="12" customHeight="1">
      <c r="A85" s="58" t="s">
        <v>22</v>
      </c>
      <c r="B85" s="75">
        <f>26-0</f>
        <v>26</v>
      </c>
      <c r="C85" s="64">
        <f>50-0</f>
        <v>50</v>
      </c>
      <c r="D85" s="64">
        <f aca="true" t="shared" si="27" ref="D85:D91">SUM(B85:C85)</f>
        <v>76</v>
      </c>
      <c r="E85" s="75">
        <f>102-0</f>
        <v>102</v>
      </c>
      <c r="F85" s="64">
        <f>161-1</f>
        <v>160</v>
      </c>
      <c r="G85" s="64">
        <f t="shared" si="25"/>
        <v>262</v>
      </c>
      <c r="H85" s="75">
        <f aca="true" t="shared" si="28" ref="H85:I91">SUM(B85,E85)</f>
        <v>128</v>
      </c>
      <c r="I85" s="64">
        <f t="shared" si="28"/>
        <v>210</v>
      </c>
      <c r="J85" s="64">
        <f t="shared" si="26"/>
        <v>338</v>
      </c>
    </row>
    <row r="86" spans="1:10" ht="12" customHeight="1">
      <c r="A86" s="58" t="s">
        <v>23</v>
      </c>
      <c r="B86" s="75">
        <f>132-0</f>
        <v>132</v>
      </c>
      <c r="C86" s="64">
        <f>154-0</f>
        <v>154</v>
      </c>
      <c r="D86" s="64">
        <f t="shared" si="27"/>
        <v>286</v>
      </c>
      <c r="E86" s="75">
        <f>78-0</f>
        <v>78</v>
      </c>
      <c r="F86" s="64">
        <f>103-1</f>
        <v>102</v>
      </c>
      <c r="G86" s="64">
        <f t="shared" si="25"/>
        <v>180</v>
      </c>
      <c r="H86" s="75">
        <f t="shared" si="28"/>
        <v>210</v>
      </c>
      <c r="I86" s="64">
        <f t="shared" si="28"/>
        <v>256</v>
      </c>
      <c r="J86" s="64">
        <f t="shared" si="26"/>
        <v>466</v>
      </c>
    </row>
    <row r="87" spans="1:10" ht="12" customHeight="1">
      <c r="A87" s="58" t="s">
        <v>24</v>
      </c>
      <c r="B87" s="73">
        <f>123-1</f>
        <v>122</v>
      </c>
      <c r="C87" s="64">
        <f>198-1</f>
        <v>197</v>
      </c>
      <c r="D87" s="64">
        <f t="shared" si="27"/>
        <v>319</v>
      </c>
      <c r="E87" s="75">
        <f>63-0</f>
        <v>63</v>
      </c>
      <c r="F87" s="64">
        <f>53-2</f>
        <v>51</v>
      </c>
      <c r="G87" s="64">
        <f t="shared" si="25"/>
        <v>114</v>
      </c>
      <c r="H87" s="75">
        <f t="shared" si="28"/>
        <v>185</v>
      </c>
      <c r="I87" s="64">
        <f t="shared" si="28"/>
        <v>248</v>
      </c>
      <c r="J87" s="64">
        <f t="shared" si="26"/>
        <v>433</v>
      </c>
    </row>
    <row r="88" spans="1:10" ht="12" customHeight="1">
      <c r="A88" s="58" t="s">
        <v>25</v>
      </c>
      <c r="B88" s="73">
        <f>140-1</f>
        <v>139</v>
      </c>
      <c r="C88" s="64">
        <f>187-1</f>
        <v>186</v>
      </c>
      <c r="D88" s="64">
        <f t="shared" si="27"/>
        <v>325</v>
      </c>
      <c r="E88" s="75">
        <f>55-0</f>
        <v>55</v>
      </c>
      <c r="F88" s="64">
        <f>39-1</f>
        <v>38</v>
      </c>
      <c r="G88" s="64">
        <f t="shared" si="25"/>
        <v>93</v>
      </c>
      <c r="H88" s="75">
        <f t="shared" si="28"/>
        <v>194</v>
      </c>
      <c r="I88" s="64">
        <f t="shared" si="28"/>
        <v>224</v>
      </c>
      <c r="J88" s="64">
        <f t="shared" si="26"/>
        <v>418</v>
      </c>
    </row>
    <row r="89" spans="1:10" ht="12" customHeight="1">
      <c r="A89" s="58" t="s">
        <v>26</v>
      </c>
      <c r="B89" s="73">
        <f>162-0</f>
        <v>162</v>
      </c>
      <c r="C89" s="64">
        <f>175-6</f>
        <v>169</v>
      </c>
      <c r="D89" s="64">
        <f t="shared" si="27"/>
        <v>331</v>
      </c>
      <c r="E89" s="75">
        <f>37-0</f>
        <v>37</v>
      </c>
      <c r="F89" s="64">
        <f>32-1</f>
        <v>31</v>
      </c>
      <c r="G89" s="64">
        <f t="shared" si="25"/>
        <v>68</v>
      </c>
      <c r="H89" s="75">
        <f t="shared" si="28"/>
        <v>199</v>
      </c>
      <c r="I89" s="64">
        <f t="shared" si="28"/>
        <v>200</v>
      </c>
      <c r="J89" s="64">
        <f t="shared" si="26"/>
        <v>399</v>
      </c>
    </row>
    <row r="90" spans="1:10" ht="12" customHeight="1">
      <c r="A90" s="58" t="s">
        <v>27</v>
      </c>
      <c r="B90" s="73">
        <f>214-1</f>
        <v>213</v>
      </c>
      <c r="C90" s="64">
        <f>263-2</f>
        <v>261</v>
      </c>
      <c r="D90" s="64">
        <f t="shared" si="27"/>
        <v>474</v>
      </c>
      <c r="E90" s="75">
        <f>23-1</f>
        <v>22</v>
      </c>
      <c r="F90" s="64">
        <f>22-1</f>
        <v>21</v>
      </c>
      <c r="G90" s="64">
        <f t="shared" si="25"/>
        <v>43</v>
      </c>
      <c r="H90" s="75">
        <f t="shared" si="28"/>
        <v>235</v>
      </c>
      <c r="I90" s="64">
        <f t="shared" si="28"/>
        <v>282</v>
      </c>
      <c r="J90" s="64">
        <f t="shared" si="26"/>
        <v>517</v>
      </c>
    </row>
    <row r="91" spans="1:10" ht="12" customHeight="1">
      <c r="A91" s="58" t="s">
        <v>28</v>
      </c>
      <c r="B91" s="73">
        <f>289-1</f>
        <v>288</v>
      </c>
      <c r="C91" s="64">
        <f>292-2</f>
        <v>290</v>
      </c>
      <c r="D91" s="64">
        <f t="shared" si="27"/>
        <v>578</v>
      </c>
      <c r="E91" s="75">
        <f>14-0</f>
        <v>14</v>
      </c>
      <c r="F91" s="64">
        <f>7-0</f>
        <v>7</v>
      </c>
      <c r="G91" s="64">
        <f t="shared" si="25"/>
        <v>21</v>
      </c>
      <c r="H91" s="75">
        <f t="shared" si="28"/>
        <v>302</v>
      </c>
      <c r="I91" s="64">
        <f t="shared" si="28"/>
        <v>297</v>
      </c>
      <c r="J91" s="64">
        <f t="shared" si="26"/>
        <v>599</v>
      </c>
    </row>
    <row r="92" spans="1:10" ht="12" customHeight="1">
      <c r="A92" s="58" t="s">
        <v>29</v>
      </c>
      <c r="B92" s="64">
        <f>122+2-0</f>
        <v>124</v>
      </c>
      <c r="C92" s="59">
        <f>103+4-0</f>
        <v>107</v>
      </c>
      <c r="D92" s="76">
        <f>SUM(B92:C92)</f>
        <v>231</v>
      </c>
      <c r="E92" s="75">
        <f>10+1-0</f>
        <v>11</v>
      </c>
      <c r="F92" s="64">
        <f>5-0</f>
        <v>5</v>
      </c>
      <c r="G92" s="76">
        <f t="shared" si="25"/>
        <v>16</v>
      </c>
      <c r="H92" s="75">
        <f>SUM(B92,E92)</f>
        <v>135</v>
      </c>
      <c r="I92" s="64">
        <f>SUM(C92,F92)</f>
        <v>112</v>
      </c>
      <c r="J92" s="76">
        <f t="shared" si="26"/>
        <v>247</v>
      </c>
    </row>
    <row r="93" spans="1:10" ht="12" customHeight="1">
      <c r="A93" s="77" t="s">
        <v>5</v>
      </c>
      <c r="B93" s="78">
        <f aca="true" t="shared" si="29" ref="B93:J93">SUM(B84:B92)</f>
        <v>1206</v>
      </c>
      <c r="C93" s="79">
        <f t="shared" si="29"/>
        <v>1414</v>
      </c>
      <c r="D93" s="79">
        <f t="shared" si="29"/>
        <v>2620</v>
      </c>
      <c r="E93" s="78">
        <f t="shared" si="29"/>
        <v>403</v>
      </c>
      <c r="F93" s="79">
        <f t="shared" si="29"/>
        <v>454</v>
      </c>
      <c r="G93" s="79">
        <f t="shared" si="29"/>
        <v>857</v>
      </c>
      <c r="H93" s="78">
        <f t="shared" si="29"/>
        <v>1609</v>
      </c>
      <c r="I93" s="79">
        <f t="shared" si="29"/>
        <v>1868</v>
      </c>
      <c r="J93" s="79">
        <f t="shared" si="29"/>
        <v>3477</v>
      </c>
    </row>
    <row r="95" spans="1:10" s="191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</row>
    <row r="96" spans="1:10" s="191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</row>
    <row r="97" spans="1:10" s="191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</row>
    <row r="98" ht="12" customHeight="1">
      <c r="K98" s="197"/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5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93" sqref="F93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61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30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19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20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21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61</v>
      </c>
      <c r="F13" s="85">
        <f t="shared" si="0"/>
        <v>220</v>
      </c>
      <c r="G13" s="85">
        <f t="shared" si="0"/>
        <v>281</v>
      </c>
      <c r="H13" s="97">
        <f t="shared" si="0"/>
        <v>61</v>
      </c>
      <c r="I13" s="85">
        <f t="shared" si="0"/>
        <v>220</v>
      </c>
      <c r="J13" s="85">
        <f t="shared" si="0"/>
        <v>281</v>
      </c>
    </row>
    <row r="14" spans="1:10" ht="12" customHeight="1">
      <c r="A14" s="80" t="s">
        <v>22</v>
      </c>
      <c r="B14" s="97">
        <f aca="true" t="shared" si="1" ref="B14:J14">SUM(B37,B53,B69,B85)</f>
        <v>65</v>
      </c>
      <c r="C14" s="85">
        <f t="shared" si="1"/>
        <v>278</v>
      </c>
      <c r="D14" s="85">
        <f t="shared" si="1"/>
        <v>343</v>
      </c>
      <c r="E14" s="97">
        <f t="shared" si="1"/>
        <v>187</v>
      </c>
      <c r="F14" s="85">
        <f t="shared" si="1"/>
        <v>552</v>
      </c>
      <c r="G14" s="85">
        <f t="shared" si="1"/>
        <v>739</v>
      </c>
      <c r="H14" s="97">
        <f t="shared" si="1"/>
        <v>252</v>
      </c>
      <c r="I14" s="85">
        <f t="shared" si="1"/>
        <v>830</v>
      </c>
      <c r="J14" s="85">
        <f t="shared" si="1"/>
        <v>1082</v>
      </c>
    </row>
    <row r="15" spans="1:10" ht="12" customHeight="1">
      <c r="A15" s="80" t="s">
        <v>23</v>
      </c>
      <c r="B15" s="97">
        <f aca="true" t="shared" si="2" ref="B15:J15">SUM(B38,B54,B70,B86)</f>
        <v>220</v>
      </c>
      <c r="C15" s="85">
        <f t="shared" si="2"/>
        <v>540</v>
      </c>
      <c r="D15" s="85">
        <f t="shared" si="2"/>
        <v>760</v>
      </c>
      <c r="E15" s="97">
        <f t="shared" si="2"/>
        <v>102</v>
      </c>
      <c r="F15" s="85">
        <f t="shared" si="2"/>
        <v>238</v>
      </c>
      <c r="G15" s="85">
        <f t="shared" si="2"/>
        <v>340</v>
      </c>
      <c r="H15" s="97">
        <f t="shared" si="2"/>
        <v>322</v>
      </c>
      <c r="I15" s="85">
        <f t="shared" si="2"/>
        <v>778</v>
      </c>
      <c r="J15" s="85">
        <f t="shared" si="2"/>
        <v>1100</v>
      </c>
    </row>
    <row r="16" spans="1:10" ht="12" customHeight="1">
      <c r="A16" s="80" t="s">
        <v>24</v>
      </c>
      <c r="B16" s="97">
        <f aca="true" t="shared" si="3" ref="B16:J16">SUM(B39,B55,B71,B87)</f>
        <v>241</v>
      </c>
      <c r="C16" s="85">
        <f t="shared" si="3"/>
        <v>413</v>
      </c>
      <c r="D16" s="85">
        <f t="shared" si="3"/>
        <v>654</v>
      </c>
      <c r="E16" s="97">
        <f t="shared" si="3"/>
        <v>84</v>
      </c>
      <c r="F16" s="85">
        <f t="shared" si="3"/>
        <v>129</v>
      </c>
      <c r="G16" s="85">
        <f t="shared" si="3"/>
        <v>213</v>
      </c>
      <c r="H16" s="97">
        <f t="shared" si="3"/>
        <v>325</v>
      </c>
      <c r="I16" s="85">
        <f t="shared" si="3"/>
        <v>542</v>
      </c>
      <c r="J16" s="85">
        <f t="shared" si="3"/>
        <v>867</v>
      </c>
    </row>
    <row r="17" spans="1:10" ht="12" customHeight="1">
      <c r="A17" s="80" t="s">
        <v>25</v>
      </c>
      <c r="B17" s="97">
        <f aca="true" t="shared" si="4" ref="B17:J17">SUM(B40,B56,B72,B88)</f>
        <v>256</v>
      </c>
      <c r="C17" s="85">
        <f t="shared" si="4"/>
        <v>354</v>
      </c>
      <c r="D17" s="85">
        <f t="shared" si="4"/>
        <v>610</v>
      </c>
      <c r="E17" s="97">
        <f t="shared" si="4"/>
        <v>75</v>
      </c>
      <c r="F17" s="85">
        <f t="shared" si="4"/>
        <v>108</v>
      </c>
      <c r="G17" s="85">
        <f t="shared" si="4"/>
        <v>183</v>
      </c>
      <c r="H17" s="97">
        <f t="shared" si="4"/>
        <v>331</v>
      </c>
      <c r="I17" s="85">
        <f t="shared" si="4"/>
        <v>462</v>
      </c>
      <c r="J17" s="85">
        <f t="shared" si="4"/>
        <v>793</v>
      </c>
    </row>
    <row r="18" spans="1:10" ht="12" customHeight="1">
      <c r="A18" s="80" t="s">
        <v>26</v>
      </c>
      <c r="B18" s="97">
        <f aca="true" t="shared" si="5" ref="B18:J18">SUM(B41,B57,B73,B89)</f>
        <v>222</v>
      </c>
      <c r="C18" s="85">
        <f t="shared" si="5"/>
        <v>404</v>
      </c>
      <c r="D18" s="85">
        <f t="shared" si="5"/>
        <v>626</v>
      </c>
      <c r="E18" s="97">
        <f t="shared" si="5"/>
        <v>72</v>
      </c>
      <c r="F18" s="85">
        <f t="shared" si="5"/>
        <v>82</v>
      </c>
      <c r="G18" s="85">
        <f t="shared" si="5"/>
        <v>154</v>
      </c>
      <c r="H18" s="97">
        <f t="shared" si="5"/>
        <v>294</v>
      </c>
      <c r="I18" s="85">
        <f t="shared" si="5"/>
        <v>486</v>
      </c>
      <c r="J18" s="85">
        <f t="shared" si="5"/>
        <v>780</v>
      </c>
    </row>
    <row r="19" spans="1:10" ht="12" customHeight="1">
      <c r="A19" s="80" t="s">
        <v>27</v>
      </c>
      <c r="B19" s="97">
        <f aca="true" t="shared" si="6" ref="B19:J19">SUM(B42,B58,B74,B90)</f>
        <v>304</v>
      </c>
      <c r="C19" s="85">
        <f t="shared" si="6"/>
        <v>500</v>
      </c>
      <c r="D19" s="85">
        <f t="shared" si="6"/>
        <v>804</v>
      </c>
      <c r="E19" s="97">
        <f t="shared" si="6"/>
        <v>51</v>
      </c>
      <c r="F19" s="85">
        <f t="shared" si="6"/>
        <v>40</v>
      </c>
      <c r="G19" s="85">
        <f t="shared" si="6"/>
        <v>91</v>
      </c>
      <c r="H19" s="97">
        <f t="shared" si="6"/>
        <v>355</v>
      </c>
      <c r="I19" s="85">
        <f t="shared" si="6"/>
        <v>540</v>
      </c>
      <c r="J19" s="85">
        <f t="shared" si="6"/>
        <v>895</v>
      </c>
    </row>
    <row r="20" spans="1:10" ht="12" customHeight="1">
      <c r="A20" s="80" t="s">
        <v>28</v>
      </c>
      <c r="B20" s="97">
        <f aca="true" t="shared" si="7" ref="B20:J20">SUM(B43,B59,B75,B91)</f>
        <v>435</v>
      </c>
      <c r="C20" s="85">
        <f t="shared" si="7"/>
        <v>480</v>
      </c>
      <c r="D20" s="85">
        <f t="shared" si="7"/>
        <v>915</v>
      </c>
      <c r="E20" s="97">
        <f t="shared" si="7"/>
        <v>22</v>
      </c>
      <c r="F20" s="85">
        <f t="shared" si="7"/>
        <v>16</v>
      </c>
      <c r="G20" s="85">
        <f t="shared" si="7"/>
        <v>38</v>
      </c>
      <c r="H20" s="97">
        <f t="shared" si="7"/>
        <v>457</v>
      </c>
      <c r="I20" s="85">
        <f t="shared" si="7"/>
        <v>496</v>
      </c>
      <c r="J20" s="85">
        <f t="shared" si="7"/>
        <v>953</v>
      </c>
    </row>
    <row r="21" spans="1:10" ht="12" customHeight="1">
      <c r="A21" s="80" t="s">
        <v>29</v>
      </c>
      <c r="B21" s="97">
        <f aca="true" t="shared" si="8" ref="B21:J21">SUM(B44,B60,B76,B92)</f>
        <v>116</v>
      </c>
      <c r="C21" s="85">
        <f t="shared" si="8"/>
        <v>95</v>
      </c>
      <c r="D21" s="98">
        <f t="shared" si="8"/>
        <v>211</v>
      </c>
      <c r="E21" s="97">
        <f t="shared" si="8"/>
        <v>5</v>
      </c>
      <c r="F21" s="85">
        <f t="shared" si="8"/>
        <v>0</v>
      </c>
      <c r="G21" s="98">
        <f t="shared" si="8"/>
        <v>5</v>
      </c>
      <c r="H21" s="97">
        <f t="shared" si="8"/>
        <v>121</v>
      </c>
      <c r="I21" s="85">
        <f t="shared" si="8"/>
        <v>95</v>
      </c>
      <c r="J21" s="98">
        <f t="shared" si="8"/>
        <v>216</v>
      </c>
    </row>
    <row r="22" spans="1:10" ht="12" customHeight="1">
      <c r="A22" s="99" t="s">
        <v>5</v>
      </c>
      <c r="B22" s="100">
        <f aca="true" t="shared" si="9" ref="B22:J22">SUM(B45,B61,B77,B93)</f>
        <v>1859</v>
      </c>
      <c r="C22" s="101">
        <f t="shared" si="9"/>
        <v>3064</v>
      </c>
      <c r="D22" s="101">
        <f t="shared" si="9"/>
        <v>4923</v>
      </c>
      <c r="E22" s="100">
        <f t="shared" si="9"/>
        <v>659</v>
      </c>
      <c r="F22" s="101">
        <f t="shared" si="9"/>
        <v>1385</v>
      </c>
      <c r="G22" s="101">
        <f t="shared" si="9"/>
        <v>2044</v>
      </c>
      <c r="H22" s="100">
        <f t="shared" si="9"/>
        <v>2518</v>
      </c>
      <c r="I22" s="101">
        <f t="shared" si="9"/>
        <v>4449</v>
      </c>
      <c r="J22" s="101">
        <f t="shared" si="9"/>
        <v>6967</v>
      </c>
    </row>
    <row r="24" spans="1:10" ht="12" customHeight="1">
      <c r="A24" s="1" t="s">
        <v>60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61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30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32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20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21</v>
      </c>
      <c r="B36" s="97">
        <v>0</v>
      </c>
      <c r="C36" s="85">
        <v>0</v>
      </c>
      <c r="D36" s="85">
        <f>SUM(B36:C36)</f>
        <v>0</v>
      </c>
      <c r="E36" s="97">
        <v>19</v>
      </c>
      <c r="F36" s="85">
        <v>57</v>
      </c>
      <c r="G36" s="85">
        <f aca="true" t="shared" si="10" ref="G36:G44">SUM(E36:F36)</f>
        <v>76</v>
      </c>
      <c r="H36" s="97">
        <f>SUM(B36,E36)</f>
        <v>19</v>
      </c>
      <c r="I36" s="85">
        <f>SUM(C36,F36)</f>
        <v>57</v>
      </c>
      <c r="J36" s="85">
        <f aca="true" t="shared" si="11" ref="J36:J44">SUM(H36:I36)</f>
        <v>76</v>
      </c>
    </row>
    <row r="37" spans="1:10" ht="12" customHeight="1">
      <c r="A37" s="80" t="s">
        <v>22</v>
      </c>
      <c r="B37" s="97">
        <v>16</v>
      </c>
      <c r="C37" s="85">
        <v>65</v>
      </c>
      <c r="D37" s="85">
        <f aca="true" t="shared" si="12" ref="D37:D44">SUM(B37:C37)</f>
        <v>81</v>
      </c>
      <c r="E37" s="97">
        <v>40</v>
      </c>
      <c r="F37" s="85">
        <v>112</v>
      </c>
      <c r="G37" s="85">
        <f t="shared" si="10"/>
        <v>152</v>
      </c>
      <c r="H37" s="97">
        <f aca="true" t="shared" si="13" ref="H37:I44">SUM(B37,E37)</f>
        <v>56</v>
      </c>
      <c r="I37" s="85">
        <f t="shared" si="13"/>
        <v>177</v>
      </c>
      <c r="J37" s="85">
        <f t="shared" si="11"/>
        <v>233</v>
      </c>
    </row>
    <row r="38" spans="1:10" ht="12" customHeight="1">
      <c r="A38" s="80" t="s">
        <v>23</v>
      </c>
      <c r="B38" s="97">
        <v>42</v>
      </c>
      <c r="C38" s="85">
        <v>122</v>
      </c>
      <c r="D38" s="85">
        <f t="shared" si="12"/>
        <v>164</v>
      </c>
      <c r="E38" s="97">
        <v>27</v>
      </c>
      <c r="F38" s="85">
        <v>61</v>
      </c>
      <c r="G38" s="85">
        <f t="shared" si="10"/>
        <v>88</v>
      </c>
      <c r="H38" s="97">
        <f t="shared" si="13"/>
        <v>69</v>
      </c>
      <c r="I38" s="85">
        <f t="shared" si="13"/>
        <v>183</v>
      </c>
      <c r="J38" s="85">
        <f t="shared" si="11"/>
        <v>252</v>
      </c>
    </row>
    <row r="39" spans="1:10" ht="12" customHeight="1">
      <c r="A39" s="80" t="s">
        <v>24</v>
      </c>
      <c r="B39" s="95">
        <v>50</v>
      </c>
      <c r="C39" s="85">
        <v>80</v>
      </c>
      <c r="D39" s="85">
        <f t="shared" si="12"/>
        <v>130</v>
      </c>
      <c r="E39" s="97">
        <v>23</v>
      </c>
      <c r="F39" s="85">
        <v>36</v>
      </c>
      <c r="G39" s="85">
        <f t="shared" si="10"/>
        <v>59</v>
      </c>
      <c r="H39" s="97">
        <f t="shared" si="13"/>
        <v>73</v>
      </c>
      <c r="I39" s="85">
        <f t="shared" si="13"/>
        <v>116</v>
      </c>
      <c r="J39" s="85">
        <f t="shared" si="11"/>
        <v>189</v>
      </c>
    </row>
    <row r="40" spans="1:10" ht="12" customHeight="1">
      <c r="A40" s="80" t="s">
        <v>25</v>
      </c>
      <c r="B40" s="95">
        <v>56</v>
      </c>
      <c r="C40" s="85">
        <v>74</v>
      </c>
      <c r="D40" s="85">
        <f t="shared" si="12"/>
        <v>130</v>
      </c>
      <c r="E40" s="97">
        <v>23</v>
      </c>
      <c r="F40" s="85">
        <v>26</v>
      </c>
      <c r="G40" s="85">
        <f t="shared" si="10"/>
        <v>49</v>
      </c>
      <c r="H40" s="97">
        <f t="shared" si="13"/>
        <v>79</v>
      </c>
      <c r="I40" s="85">
        <f t="shared" si="13"/>
        <v>100</v>
      </c>
      <c r="J40" s="85">
        <f t="shared" si="11"/>
        <v>179</v>
      </c>
    </row>
    <row r="41" spans="1:10" ht="12" customHeight="1">
      <c r="A41" s="80" t="s">
        <v>26</v>
      </c>
      <c r="B41" s="95">
        <v>51</v>
      </c>
      <c r="C41" s="85">
        <v>82</v>
      </c>
      <c r="D41" s="85">
        <f t="shared" si="12"/>
        <v>133</v>
      </c>
      <c r="E41" s="97">
        <v>20</v>
      </c>
      <c r="F41" s="85">
        <v>24</v>
      </c>
      <c r="G41" s="85">
        <f t="shared" si="10"/>
        <v>44</v>
      </c>
      <c r="H41" s="97">
        <f t="shared" si="13"/>
        <v>71</v>
      </c>
      <c r="I41" s="85">
        <f t="shared" si="13"/>
        <v>106</v>
      </c>
      <c r="J41" s="85">
        <f t="shared" si="11"/>
        <v>177</v>
      </c>
    </row>
    <row r="42" spans="1:10" ht="12" customHeight="1">
      <c r="A42" s="80" t="s">
        <v>27</v>
      </c>
      <c r="B42" s="95">
        <v>62</v>
      </c>
      <c r="C42" s="85">
        <v>148</v>
      </c>
      <c r="D42" s="85">
        <f t="shared" si="12"/>
        <v>210</v>
      </c>
      <c r="E42" s="97">
        <v>14</v>
      </c>
      <c r="F42" s="85">
        <v>18</v>
      </c>
      <c r="G42" s="85">
        <f t="shared" si="10"/>
        <v>32</v>
      </c>
      <c r="H42" s="97">
        <f t="shared" si="13"/>
        <v>76</v>
      </c>
      <c r="I42" s="85">
        <f t="shared" si="13"/>
        <v>166</v>
      </c>
      <c r="J42" s="85">
        <f t="shared" si="11"/>
        <v>242</v>
      </c>
    </row>
    <row r="43" spans="1:10" ht="12" customHeight="1">
      <c r="A43" s="80" t="s">
        <v>28</v>
      </c>
      <c r="B43" s="95">
        <v>101</v>
      </c>
      <c r="C43" s="85">
        <v>107</v>
      </c>
      <c r="D43" s="85">
        <f t="shared" si="12"/>
        <v>208</v>
      </c>
      <c r="E43" s="97">
        <v>8</v>
      </c>
      <c r="F43" s="85">
        <v>3</v>
      </c>
      <c r="G43" s="85">
        <f t="shared" si="10"/>
        <v>11</v>
      </c>
      <c r="H43" s="97">
        <f t="shared" si="13"/>
        <v>109</v>
      </c>
      <c r="I43" s="85">
        <f t="shared" si="13"/>
        <v>110</v>
      </c>
      <c r="J43" s="85">
        <f t="shared" si="11"/>
        <v>219</v>
      </c>
    </row>
    <row r="44" spans="1:10" ht="12" customHeight="1">
      <c r="A44" s="80" t="s">
        <v>29</v>
      </c>
      <c r="B44" s="95">
        <f>30+2</f>
        <v>32</v>
      </c>
      <c r="C44" s="85">
        <v>24</v>
      </c>
      <c r="D44" s="98">
        <f t="shared" si="12"/>
        <v>56</v>
      </c>
      <c r="E44" s="97">
        <v>1</v>
      </c>
      <c r="F44" s="85">
        <v>0</v>
      </c>
      <c r="G44" s="98">
        <f t="shared" si="10"/>
        <v>1</v>
      </c>
      <c r="H44" s="97">
        <f t="shared" si="13"/>
        <v>33</v>
      </c>
      <c r="I44" s="85">
        <f t="shared" si="13"/>
        <v>24</v>
      </c>
      <c r="J44" s="98">
        <f t="shared" si="11"/>
        <v>57</v>
      </c>
    </row>
    <row r="45" spans="1:10" ht="12" customHeight="1">
      <c r="A45" s="99" t="s">
        <v>5</v>
      </c>
      <c r="B45" s="100">
        <f aca="true" t="shared" si="14" ref="B45:J45">SUM(B36:B44)</f>
        <v>410</v>
      </c>
      <c r="C45" s="101">
        <f t="shared" si="14"/>
        <v>702</v>
      </c>
      <c r="D45" s="101">
        <f t="shared" si="14"/>
        <v>1112</v>
      </c>
      <c r="E45" s="100">
        <f t="shared" si="14"/>
        <v>175</v>
      </c>
      <c r="F45" s="101">
        <f t="shared" si="14"/>
        <v>337</v>
      </c>
      <c r="G45" s="101">
        <f t="shared" si="14"/>
        <v>512</v>
      </c>
      <c r="H45" s="100">
        <f t="shared" si="14"/>
        <v>585</v>
      </c>
      <c r="I45" s="101">
        <f t="shared" si="14"/>
        <v>1039</v>
      </c>
      <c r="J45" s="101">
        <f t="shared" si="14"/>
        <v>1624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20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21</v>
      </c>
      <c r="B52" s="97">
        <v>0</v>
      </c>
      <c r="C52" s="85">
        <v>0</v>
      </c>
      <c r="D52" s="85">
        <f>SUM(B52:C52)</f>
        <v>0</v>
      </c>
      <c r="E52" s="97">
        <v>33</v>
      </c>
      <c r="F52" s="85">
        <v>144</v>
      </c>
      <c r="G52" s="85">
        <f aca="true" t="shared" si="15" ref="G52:G60">SUM(E52:F52)</f>
        <v>177</v>
      </c>
      <c r="H52" s="97">
        <f>SUM(B52,E52)</f>
        <v>33</v>
      </c>
      <c r="I52" s="85">
        <f>SUM(C52,F52)</f>
        <v>144</v>
      </c>
      <c r="J52" s="85">
        <f aca="true" t="shared" si="16" ref="J52:J60">SUM(H52:I52)</f>
        <v>177</v>
      </c>
    </row>
    <row r="53" spans="1:10" ht="12" customHeight="1">
      <c r="A53" s="80" t="s">
        <v>22</v>
      </c>
      <c r="B53" s="97">
        <v>41</v>
      </c>
      <c r="C53" s="85">
        <v>190</v>
      </c>
      <c r="D53" s="85">
        <f>SUM(B53:C53)</f>
        <v>231</v>
      </c>
      <c r="E53" s="97">
        <v>105</v>
      </c>
      <c r="F53" s="85">
        <v>364</v>
      </c>
      <c r="G53" s="85">
        <f t="shared" si="15"/>
        <v>469</v>
      </c>
      <c r="H53" s="97">
        <f aca="true" t="shared" si="17" ref="H53:I60">SUM(B53,E53)</f>
        <v>146</v>
      </c>
      <c r="I53" s="85">
        <f t="shared" si="17"/>
        <v>554</v>
      </c>
      <c r="J53" s="85">
        <f t="shared" si="16"/>
        <v>700</v>
      </c>
    </row>
    <row r="54" spans="1:10" ht="12" customHeight="1">
      <c r="A54" s="80" t="s">
        <v>23</v>
      </c>
      <c r="B54" s="97">
        <v>157</v>
      </c>
      <c r="C54" s="85">
        <v>353</v>
      </c>
      <c r="D54" s="85">
        <f aca="true" t="shared" si="18" ref="D54:D60">SUM(B54:C54)</f>
        <v>510</v>
      </c>
      <c r="E54" s="97">
        <v>60</v>
      </c>
      <c r="F54" s="85">
        <v>144</v>
      </c>
      <c r="G54" s="85">
        <f t="shared" si="15"/>
        <v>204</v>
      </c>
      <c r="H54" s="97">
        <f t="shared" si="17"/>
        <v>217</v>
      </c>
      <c r="I54" s="85">
        <f t="shared" si="17"/>
        <v>497</v>
      </c>
      <c r="J54" s="85">
        <f t="shared" si="16"/>
        <v>714</v>
      </c>
    </row>
    <row r="55" spans="1:10" ht="12" customHeight="1">
      <c r="A55" s="80" t="s">
        <v>24</v>
      </c>
      <c r="B55" s="95">
        <v>157</v>
      </c>
      <c r="C55" s="85">
        <v>285</v>
      </c>
      <c r="D55" s="85">
        <f t="shared" si="18"/>
        <v>442</v>
      </c>
      <c r="E55" s="97">
        <v>48</v>
      </c>
      <c r="F55" s="85">
        <v>71</v>
      </c>
      <c r="G55" s="85">
        <f t="shared" si="15"/>
        <v>119</v>
      </c>
      <c r="H55" s="97">
        <f t="shared" si="17"/>
        <v>205</v>
      </c>
      <c r="I55" s="85">
        <f t="shared" si="17"/>
        <v>356</v>
      </c>
      <c r="J55" s="85">
        <f t="shared" si="16"/>
        <v>561</v>
      </c>
    </row>
    <row r="56" spans="1:10" ht="12" customHeight="1">
      <c r="A56" s="80" t="s">
        <v>25</v>
      </c>
      <c r="B56" s="95">
        <v>162</v>
      </c>
      <c r="C56" s="85">
        <v>257</v>
      </c>
      <c r="D56" s="85">
        <f t="shared" si="18"/>
        <v>419</v>
      </c>
      <c r="E56" s="97">
        <v>41</v>
      </c>
      <c r="F56" s="85">
        <v>68</v>
      </c>
      <c r="G56" s="85">
        <f t="shared" si="15"/>
        <v>109</v>
      </c>
      <c r="H56" s="97">
        <f t="shared" si="17"/>
        <v>203</v>
      </c>
      <c r="I56" s="85">
        <f t="shared" si="17"/>
        <v>325</v>
      </c>
      <c r="J56" s="85">
        <f t="shared" si="16"/>
        <v>528</v>
      </c>
    </row>
    <row r="57" spans="1:10" ht="12" customHeight="1">
      <c r="A57" s="80" t="s">
        <v>26</v>
      </c>
      <c r="B57" s="95">
        <v>137</v>
      </c>
      <c r="C57" s="85">
        <v>274</v>
      </c>
      <c r="D57" s="85">
        <f t="shared" si="18"/>
        <v>411</v>
      </c>
      <c r="E57" s="97">
        <v>41</v>
      </c>
      <c r="F57" s="85">
        <v>44</v>
      </c>
      <c r="G57" s="85">
        <f t="shared" si="15"/>
        <v>85</v>
      </c>
      <c r="H57" s="97">
        <f t="shared" si="17"/>
        <v>178</v>
      </c>
      <c r="I57" s="85">
        <f t="shared" si="17"/>
        <v>318</v>
      </c>
      <c r="J57" s="85">
        <f t="shared" si="16"/>
        <v>496</v>
      </c>
    </row>
    <row r="58" spans="1:10" ht="12" customHeight="1">
      <c r="A58" s="80" t="s">
        <v>27</v>
      </c>
      <c r="B58" s="95">
        <v>189</v>
      </c>
      <c r="C58" s="85">
        <v>283</v>
      </c>
      <c r="D58" s="85">
        <f t="shared" si="18"/>
        <v>472</v>
      </c>
      <c r="E58" s="97">
        <v>28</v>
      </c>
      <c r="F58" s="85">
        <v>18</v>
      </c>
      <c r="G58" s="85">
        <f t="shared" si="15"/>
        <v>46</v>
      </c>
      <c r="H58" s="97">
        <f t="shared" si="17"/>
        <v>217</v>
      </c>
      <c r="I58" s="85">
        <f t="shared" si="17"/>
        <v>301</v>
      </c>
      <c r="J58" s="85">
        <f t="shared" si="16"/>
        <v>518</v>
      </c>
    </row>
    <row r="59" spans="1:10" ht="12" customHeight="1">
      <c r="A59" s="80" t="s">
        <v>28</v>
      </c>
      <c r="B59" s="95">
        <v>264</v>
      </c>
      <c r="C59" s="85">
        <v>307</v>
      </c>
      <c r="D59" s="85">
        <f t="shared" si="18"/>
        <v>571</v>
      </c>
      <c r="E59" s="97">
        <v>10</v>
      </c>
      <c r="F59" s="85">
        <v>9</v>
      </c>
      <c r="G59" s="85">
        <f t="shared" si="15"/>
        <v>19</v>
      </c>
      <c r="H59" s="97">
        <f t="shared" si="17"/>
        <v>274</v>
      </c>
      <c r="I59" s="85">
        <f t="shared" si="17"/>
        <v>316</v>
      </c>
      <c r="J59" s="85">
        <f t="shared" si="16"/>
        <v>590</v>
      </c>
    </row>
    <row r="60" spans="1:10" ht="12" customHeight="1">
      <c r="A60" s="80" t="s">
        <v>29</v>
      </c>
      <c r="B60" s="95">
        <f>62+1</f>
        <v>63</v>
      </c>
      <c r="C60" s="85">
        <f>56+1</f>
        <v>57</v>
      </c>
      <c r="D60" s="98">
        <f t="shared" si="18"/>
        <v>120</v>
      </c>
      <c r="E60" s="97">
        <v>3</v>
      </c>
      <c r="F60" s="85">
        <v>0</v>
      </c>
      <c r="G60" s="98">
        <f t="shared" si="15"/>
        <v>3</v>
      </c>
      <c r="H60" s="97">
        <f t="shared" si="17"/>
        <v>66</v>
      </c>
      <c r="I60" s="85">
        <f t="shared" si="17"/>
        <v>57</v>
      </c>
      <c r="J60" s="98">
        <f t="shared" si="16"/>
        <v>123</v>
      </c>
    </row>
    <row r="61" spans="1:10" ht="12" customHeight="1">
      <c r="A61" s="99" t="s">
        <v>5</v>
      </c>
      <c r="B61" s="100">
        <f aca="true" t="shared" si="19" ref="B61:J61">SUM(B52:B60)</f>
        <v>1170</v>
      </c>
      <c r="C61" s="101">
        <f t="shared" si="19"/>
        <v>2006</v>
      </c>
      <c r="D61" s="101">
        <f t="shared" si="19"/>
        <v>3176</v>
      </c>
      <c r="E61" s="100">
        <f t="shared" si="19"/>
        <v>369</v>
      </c>
      <c r="F61" s="101">
        <f t="shared" si="19"/>
        <v>862</v>
      </c>
      <c r="G61" s="101">
        <f t="shared" si="19"/>
        <v>1231</v>
      </c>
      <c r="H61" s="100">
        <f t="shared" si="19"/>
        <v>1539</v>
      </c>
      <c r="I61" s="101">
        <f t="shared" si="19"/>
        <v>2868</v>
      </c>
      <c r="J61" s="101">
        <f t="shared" si="19"/>
        <v>4407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20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21</v>
      </c>
      <c r="B68" s="97">
        <v>0</v>
      </c>
      <c r="C68" s="85">
        <v>0</v>
      </c>
      <c r="D68" s="85">
        <f>SUM(B68:C68)</f>
        <v>0</v>
      </c>
      <c r="E68" s="97">
        <v>0</v>
      </c>
      <c r="F68" s="85">
        <v>2</v>
      </c>
      <c r="G68" s="85">
        <f aca="true" t="shared" si="20" ref="G68:G76">SUM(E68:F68)</f>
        <v>2</v>
      </c>
      <c r="H68" s="97">
        <f>SUM(B68,E68)</f>
        <v>0</v>
      </c>
      <c r="I68" s="85">
        <f>SUM(C68,F68)</f>
        <v>2</v>
      </c>
      <c r="J68" s="85">
        <f aca="true" t="shared" si="21" ref="J68:J76">SUM(H68:I68)</f>
        <v>2</v>
      </c>
    </row>
    <row r="69" spans="1:10" ht="12" customHeight="1">
      <c r="A69" s="80" t="s">
        <v>22</v>
      </c>
      <c r="B69" s="97">
        <v>1</v>
      </c>
      <c r="C69" s="85">
        <v>9</v>
      </c>
      <c r="D69" s="85">
        <f aca="true" t="shared" si="22" ref="D69:D76">SUM(B69:C69)</f>
        <v>10</v>
      </c>
      <c r="E69" s="97">
        <v>6</v>
      </c>
      <c r="F69" s="85">
        <v>4</v>
      </c>
      <c r="G69" s="85">
        <f t="shared" si="20"/>
        <v>10</v>
      </c>
      <c r="H69" s="97">
        <f aca="true" t="shared" si="23" ref="H69:I76">SUM(B69,E69)</f>
        <v>7</v>
      </c>
      <c r="I69" s="85">
        <f t="shared" si="23"/>
        <v>13</v>
      </c>
      <c r="J69" s="85">
        <f t="shared" si="21"/>
        <v>20</v>
      </c>
    </row>
    <row r="70" spans="1:10" ht="12" customHeight="1">
      <c r="A70" s="80" t="s">
        <v>23</v>
      </c>
      <c r="B70" s="97">
        <v>2</v>
      </c>
      <c r="C70" s="85">
        <v>12</v>
      </c>
      <c r="D70" s="85">
        <f t="shared" si="22"/>
        <v>14</v>
      </c>
      <c r="E70" s="97">
        <v>2</v>
      </c>
      <c r="F70" s="85">
        <v>4</v>
      </c>
      <c r="G70" s="85">
        <f t="shared" si="20"/>
        <v>6</v>
      </c>
      <c r="H70" s="97">
        <f t="shared" si="23"/>
        <v>4</v>
      </c>
      <c r="I70" s="85">
        <f t="shared" si="23"/>
        <v>16</v>
      </c>
      <c r="J70" s="85">
        <f t="shared" si="21"/>
        <v>20</v>
      </c>
    </row>
    <row r="71" spans="1:10" ht="12" customHeight="1">
      <c r="A71" s="80" t="s">
        <v>24</v>
      </c>
      <c r="B71" s="95">
        <v>5</v>
      </c>
      <c r="C71" s="85">
        <v>4</v>
      </c>
      <c r="D71" s="85">
        <f t="shared" si="22"/>
        <v>9</v>
      </c>
      <c r="E71" s="97">
        <v>4</v>
      </c>
      <c r="F71" s="85">
        <v>0</v>
      </c>
      <c r="G71" s="85">
        <f t="shared" si="20"/>
        <v>4</v>
      </c>
      <c r="H71" s="97">
        <f t="shared" si="23"/>
        <v>9</v>
      </c>
      <c r="I71" s="85">
        <f t="shared" si="23"/>
        <v>4</v>
      </c>
      <c r="J71" s="85">
        <f t="shared" si="21"/>
        <v>13</v>
      </c>
    </row>
    <row r="72" spans="1:10" ht="12" customHeight="1">
      <c r="A72" s="80" t="s">
        <v>25</v>
      </c>
      <c r="B72" s="95">
        <v>8</v>
      </c>
      <c r="C72" s="85">
        <v>2</v>
      </c>
      <c r="D72" s="85">
        <f t="shared" si="22"/>
        <v>10</v>
      </c>
      <c r="E72" s="97">
        <v>4</v>
      </c>
      <c r="F72" s="85">
        <v>0</v>
      </c>
      <c r="G72" s="85">
        <f t="shared" si="20"/>
        <v>4</v>
      </c>
      <c r="H72" s="97">
        <f t="shared" si="23"/>
        <v>12</v>
      </c>
      <c r="I72" s="85">
        <f t="shared" si="23"/>
        <v>2</v>
      </c>
      <c r="J72" s="85">
        <f t="shared" si="21"/>
        <v>14</v>
      </c>
    </row>
    <row r="73" spans="1:10" ht="12" customHeight="1">
      <c r="A73" s="80" t="s">
        <v>26</v>
      </c>
      <c r="B73" s="95">
        <v>6</v>
      </c>
      <c r="C73" s="85">
        <v>7</v>
      </c>
      <c r="D73" s="85">
        <f t="shared" si="22"/>
        <v>13</v>
      </c>
      <c r="E73" s="97">
        <v>1</v>
      </c>
      <c r="F73" s="85">
        <v>0</v>
      </c>
      <c r="G73" s="85">
        <f t="shared" si="20"/>
        <v>1</v>
      </c>
      <c r="H73" s="97">
        <f t="shared" si="23"/>
        <v>7</v>
      </c>
      <c r="I73" s="85">
        <f t="shared" si="23"/>
        <v>7</v>
      </c>
      <c r="J73" s="85">
        <f t="shared" si="21"/>
        <v>14</v>
      </c>
    </row>
    <row r="74" spans="1:10" ht="12" customHeight="1">
      <c r="A74" s="80" t="s">
        <v>27</v>
      </c>
      <c r="B74" s="95">
        <v>9</v>
      </c>
      <c r="C74" s="85">
        <v>7</v>
      </c>
      <c r="D74" s="85">
        <f t="shared" si="22"/>
        <v>16</v>
      </c>
      <c r="E74" s="97">
        <v>2</v>
      </c>
      <c r="F74" s="85">
        <v>0</v>
      </c>
      <c r="G74" s="85">
        <f t="shared" si="20"/>
        <v>2</v>
      </c>
      <c r="H74" s="97">
        <f t="shared" si="23"/>
        <v>11</v>
      </c>
      <c r="I74" s="85">
        <f t="shared" si="23"/>
        <v>7</v>
      </c>
      <c r="J74" s="85">
        <f t="shared" si="21"/>
        <v>18</v>
      </c>
    </row>
    <row r="75" spans="1:10" ht="12" customHeight="1">
      <c r="A75" s="80" t="s">
        <v>28</v>
      </c>
      <c r="B75" s="95">
        <v>12</v>
      </c>
      <c r="C75" s="85">
        <v>3</v>
      </c>
      <c r="D75" s="85">
        <f t="shared" si="22"/>
        <v>15</v>
      </c>
      <c r="E75" s="97">
        <v>1</v>
      </c>
      <c r="F75" s="85">
        <v>0</v>
      </c>
      <c r="G75" s="85">
        <f t="shared" si="20"/>
        <v>1</v>
      </c>
      <c r="H75" s="97">
        <f t="shared" si="23"/>
        <v>13</v>
      </c>
      <c r="I75" s="85">
        <f t="shared" si="23"/>
        <v>3</v>
      </c>
      <c r="J75" s="85">
        <f t="shared" si="21"/>
        <v>16</v>
      </c>
    </row>
    <row r="76" spans="1:10" ht="12" customHeight="1">
      <c r="A76" s="80" t="s">
        <v>29</v>
      </c>
      <c r="B76" s="95">
        <v>2</v>
      </c>
      <c r="C76" s="85">
        <v>1</v>
      </c>
      <c r="D76" s="98">
        <f t="shared" si="22"/>
        <v>3</v>
      </c>
      <c r="E76" s="97">
        <v>0</v>
      </c>
      <c r="F76" s="85">
        <v>0</v>
      </c>
      <c r="G76" s="98">
        <f t="shared" si="20"/>
        <v>0</v>
      </c>
      <c r="H76" s="97">
        <f t="shared" si="23"/>
        <v>2</v>
      </c>
      <c r="I76" s="85">
        <f t="shared" si="23"/>
        <v>1</v>
      </c>
      <c r="J76" s="98">
        <f t="shared" si="21"/>
        <v>3</v>
      </c>
    </row>
    <row r="77" spans="1:10" ht="12" customHeight="1">
      <c r="A77" s="99" t="s">
        <v>5</v>
      </c>
      <c r="B77" s="100">
        <f aca="true" t="shared" si="24" ref="B77:J77">SUM(B68:B76)</f>
        <v>45</v>
      </c>
      <c r="C77" s="101">
        <f t="shared" si="24"/>
        <v>45</v>
      </c>
      <c r="D77" s="101">
        <f t="shared" si="24"/>
        <v>90</v>
      </c>
      <c r="E77" s="100">
        <f t="shared" si="24"/>
        <v>20</v>
      </c>
      <c r="F77" s="101">
        <f t="shared" si="24"/>
        <v>10</v>
      </c>
      <c r="G77" s="101">
        <f t="shared" si="24"/>
        <v>30</v>
      </c>
      <c r="H77" s="100">
        <f t="shared" si="24"/>
        <v>65</v>
      </c>
      <c r="I77" s="101">
        <f t="shared" si="24"/>
        <v>55</v>
      </c>
      <c r="J77" s="101">
        <f t="shared" si="24"/>
        <v>120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20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21</v>
      </c>
      <c r="B84" s="97">
        <v>0</v>
      </c>
      <c r="C84" s="85">
        <v>0</v>
      </c>
      <c r="D84" s="85">
        <f>SUM(B84:C84)</f>
        <v>0</v>
      </c>
      <c r="E84" s="97">
        <v>9</v>
      </c>
      <c r="F84" s="85">
        <v>17</v>
      </c>
      <c r="G84" s="85">
        <f aca="true" t="shared" si="25" ref="G84:G92">SUM(E84:F84)</f>
        <v>26</v>
      </c>
      <c r="H84" s="97">
        <f>SUM(B84,E84)</f>
        <v>9</v>
      </c>
      <c r="I84" s="85">
        <f>SUM(C84,F84)</f>
        <v>17</v>
      </c>
      <c r="J84" s="85">
        <f aca="true" t="shared" si="26" ref="J84:J92">SUM(H84:I84)</f>
        <v>26</v>
      </c>
    </row>
    <row r="85" spans="1:10" ht="12" customHeight="1">
      <c r="A85" s="80" t="s">
        <v>22</v>
      </c>
      <c r="B85" s="97">
        <v>7</v>
      </c>
      <c r="C85" s="85">
        <v>14</v>
      </c>
      <c r="D85" s="85">
        <f aca="true" t="shared" si="27" ref="D85:D92">SUM(B85:C85)</f>
        <v>21</v>
      </c>
      <c r="E85" s="97">
        <v>36</v>
      </c>
      <c r="F85" s="85">
        <v>72</v>
      </c>
      <c r="G85" s="85">
        <f t="shared" si="25"/>
        <v>108</v>
      </c>
      <c r="H85" s="97">
        <f aca="true" t="shared" si="28" ref="H85:I92">SUM(B85,E85)</f>
        <v>43</v>
      </c>
      <c r="I85" s="85">
        <f t="shared" si="28"/>
        <v>86</v>
      </c>
      <c r="J85" s="85">
        <f t="shared" si="26"/>
        <v>129</v>
      </c>
    </row>
    <row r="86" spans="1:10" ht="12" customHeight="1">
      <c r="A86" s="80" t="s">
        <v>23</v>
      </c>
      <c r="B86" s="97">
        <v>19</v>
      </c>
      <c r="C86" s="85">
        <v>53</v>
      </c>
      <c r="D86" s="85">
        <f t="shared" si="27"/>
        <v>72</v>
      </c>
      <c r="E86" s="97">
        <v>13</v>
      </c>
      <c r="F86" s="85">
        <v>29</v>
      </c>
      <c r="G86" s="85">
        <f t="shared" si="25"/>
        <v>42</v>
      </c>
      <c r="H86" s="97">
        <f t="shared" si="28"/>
        <v>32</v>
      </c>
      <c r="I86" s="85">
        <f t="shared" si="28"/>
        <v>82</v>
      </c>
      <c r="J86" s="85">
        <f t="shared" si="26"/>
        <v>114</v>
      </c>
    </row>
    <row r="87" spans="1:10" ht="12" customHeight="1">
      <c r="A87" s="80" t="s">
        <v>24</v>
      </c>
      <c r="B87" s="95">
        <v>29</v>
      </c>
      <c r="C87" s="85">
        <v>44</v>
      </c>
      <c r="D87" s="85">
        <f t="shared" si="27"/>
        <v>73</v>
      </c>
      <c r="E87" s="97">
        <v>9</v>
      </c>
      <c r="F87" s="85">
        <v>22</v>
      </c>
      <c r="G87" s="85">
        <f t="shared" si="25"/>
        <v>31</v>
      </c>
      <c r="H87" s="97">
        <f t="shared" si="28"/>
        <v>38</v>
      </c>
      <c r="I87" s="85">
        <f t="shared" si="28"/>
        <v>66</v>
      </c>
      <c r="J87" s="85">
        <f t="shared" si="26"/>
        <v>104</v>
      </c>
    </row>
    <row r="88" spans="1:10" ht="12" customHeight="1">
      <c r="A88" s="80" t="s">
        <v>25</v>
      </c>
      <c r="B88" s="95">
        <v>30</v>
      </c>
      <c r="C88" s="85">
        <v>21</v>
      </c>
      <c r="D88" s="85">
        <f t="shared" si="27"/>
        <v>51</v>
      </c>
      <c r="E88" s="97">
        <v>7</v>
      </c>
      <c r="F88" s="85">
        <v>14</v>
      </c>
      <c r="G88" s="85">
        <f t="shared" si="25"/>
        <v>21</v>
      </c>
      <c r="H88" s="97">
        <f t="shared" si="28"/>
        <v>37</v>
      </c>
      <c r="I88" s="85">
        <f t="shared" si="28"/>
        <v>35</v>
      </c>
      <c r="J88" s="85">
        <f t="shared" si="26"/>
        <v>72</v>
      </c>
    </row>
    <row r="89" spans="1:10" ht="12" customHeight="1">
      <c r="A89" s="80" t="s">
        <v>26</v>
      </c>
      <c r="B89" s="95">
        <v>28</v>
      </c>
      <c r="C89" s="85">
        <v>41</v>
      </c>
      <c r="D89" s="85">
        <f t="shared" si="27"/>
        <v>69</v>
      </c>
      <c r="E89" s="97">
        <v>10</v>
      </c>
      <c r="F89" s="85">
        <v>14</v>
      </c>
      <c r="G89" s="85">
        <f t="shared" si="25"/>
        <v>24</v>
      </c>
      <c r="H89" s="97">
        <f t="shared" si="28"/>
        <v>38</v>
      </c>
      <c r="I89" s="85">
        <f t="shared" si="28"/>
        <v>55</v>
      </c>
      <c r="J89" s="85">
        <f t="shared" si="26"/>
        <v>93</v>
      </c>
    </row>
    <row r="90" spans="1:10" ht="12" customHeight="1">
      <c r="A90" s="80" t="s">
        <v>27</v>
      </c>
      <c r="B90" s="95">
        <v>44</v>
      </c>
      <c r="C90" s="85">
        <v>62</v>
      </c>
      <c r="D90" s="85">
        <f t="shared" si="27"/>
        <v>106</v>
      </c>
      <c r="E90" s="97">
        <v>7</v>
      </c>
      <c r="F90" s="85">
        <v>4</v>
      </c>
      <c r="G90" s="85">
        <f t="shared" si="25"/>
        <v>11</v>
      </c>
      <c r="H90" s="97">
        <f t="shared" si="28"/>
        <v>51</v>
      </c>
      <c r="I90" s="85">
        <f t="shared" si="28"/>
        <v>66</v>
      </c>
      <c r="J90" s="85">
        <f t="shared" si="26"/>
        <v>117</v>
      </c>
    </row>
    <row r="91" spans="1:10" ht="12" customHeight="1">
      <c r="A91" s="80" t="s">
        <v>28</v>
      </c>
      <c r="B91" s="95">
        <v>58</v>
      </c>
      <c r="C91" s="85">
        <v>63</v>
      </c>
      <c r="D91" s="85">
        <f t="shared" si="27"/>
        <v>121</v>
      </c>
      <c r="E91" s="97">
        <v>3</v>
      </c>
      <c r="F91" s="85">
        <v>4</v>
      </c>
      <c r="G91" s="85">
        <f t="shared" si="25"/>
        <v>7</v>
      </c>
      <c r="H91" s="97">
        <f t="shared" si="28"/>
        <v>61</v>
      </c>
      <c r="I91" s="85">
        <f t="shared" si="28"/>
        <v>67</v>
      </c>
      <c r="J91" s="85">
        <f t="shared" si="26"/>
        <v>128</v>
      </c>
    </row>
    <row r="92" spans="1:10" ht="12" customHeight="1">
      <c r="A92" s="80" t="s">
        <v>29</v>
      </c>
      <c r="B92" s="95">
        <v>19</v>
      </c>
      <c r="C92" s="85">
        <f>12+1</f>
        <v>13</v>
      </c>
      <c r="D92" s="98">
        <f t="shared" si="27"/>
        <v>32</v>
      </c>
      <c r="E92" s="97">
        <v>1</v>
      </c>
      <c r="F92" s="85">
        <v>0</v>
      </c>
      <c r="G92" s="98">
        <f t="shared" si="25"/>
        <v>1</v>
      </c>
      <c r="H92" s="97">
        <f t="shared" si="28"/>
        <v>20</v>
      </c>
      <c r="I92" s="85">
        <f t="shared" si="28"/>
        <v>13</v>
      </c>
      <c r="J92" s="98">
        <f t="shared" si="26"/>
        <v>33</v>
      </c>
    </row>
    <row r="93" spans="1:10" ht="12" customHeight="1">
      <c r="A93" s="99" t="s">
        <v>5</v>
      </c>
      <c r="B93" s="100">
        <f aca="true" t="shared" si="29" ref="B93:J93">SUM(B84:B92)</f>
        <v>234</v>
      </c>
      <c r="C93" s="101">
        <f t="shared" si="29"/>
        <v>311</v>
      </c>
      <c r="D93" s="101">
        <f t="shared" si="29"/>
        <v>545</v>
      </c>
      <c r="E93" s="100">
        <f t="shared" si="29"/>
        <v>95</v>
      </c>
      <c r="F93" s="101">
        <f t="shared" si="29"/>
        <v>176</v>
      </c>
      <c r="G93" s="101">
        <f t="shared" si="29"/>
        <v>271</v>
      </c>
      <c r="H93" s="100">
        <f t="shared" si="29"/>
        <v>329</v>
      </c>
      <c r="I93" s="101">
        <f t="shared" si="29"/>
        <v>487</v>
      </c>
      <c r="J93" s="101">
        <f t="shared" si="29"/>
        <v>816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60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62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33</v>
      </c>
      <c r="B12" s="162">
        <v>275</v>
      </c>
      <c r="C12" s="163">
        <v>999</v>
      </c>
      <c r="D12" s="163">
        <f>SUM(B12:C12)</f>
        <v>1274</v>
      </c>
      <c r="E12" s="162">
        <v>180</v>
      </c>
      <c r="F12" s="163">
        <v>385</v>
      </c>
      <c r="G12" s="163">
        <f>SUM(E12:F12)</f>
        <v>565</v>
      </c>
      <c r="H12" s="162">
        <f aca="true" t="shared" si="0" ref="H12:I15">SUM(B12,E12)</f>
        <v>455</v>
      </c>
      <c r="I12" s="163">
        <f t="shared" si="0"/>
        <v>1384</v>
      </c>
      <c r="J12" s="163">
        <f>SUM(H12:I12)</f>
        <v>1839</v>
      </c>
    </row>
    <row r="13" spans="1:10" s="103" customFormat="1" ht="12.75">
      <c r="A13" s="103" t="s">
        <v>34</v>
      </c>
      <c r="B13" s="162">
        <f>1126-2</f>
        <v>1124</v>
      </c>
      <c r="C13" s="163">
        <f>2888-17</f>
        <v>2871</v>
      </c>
      <c r="D13" s="163">
        <f>SUM(B13:C13)</f>
        <v>3995</v>
      </c>
      <c r="E13" s="162">
        <f>357-0</f>
        <v>357</v>
      </c>
      <c r="F13" s="163">
        <f>833-4</f>
        <v>829</v>
      </c>
      <c r="G13" s="163">
        <f>SUM(E13:F13)</f>
        <v>1186</v>
      </c>
      <c r="H13" s="162">
        <f t="shared" si="0"/>
        <v>1481</v>
      </c>
      <c r="I13" s="163">
        <f t="shared" si="0"/>
        <v>3700</v>
      </c>
      <c r="J13" s="163">
        <f>SUM(H13:I13)</f>
        <v>5181</v>
      </c>
    </row>
    <row r="14" spans="1:10" s="103" customFormat="1" ht="12.75">
      <c r="A14" s="103" t="s">
        <v>35</v>
      </c>
      <c r="B14" s="162">
        <v>57</v>
      </c>
      <c r="C14" s="163">
        <v>136</v>
      </c>
      <c r="D14" s="163">
        <f>SUM(B14:C14)</f>
        <v>193</v>
      </c>
      <c r="E14" s="164">
        <v>21</v>
      </c>
      <c r="F14" s="163">
        <v>51</v>
      </c>
      <c r="G14" s="163">
        <f>SUM(E14:F14)</f>
        <v>72</v>
      </c>
      <c r="H14" s="162">
        <f t="shared" si="0"/>
        <v>78</v>
      </c>
      <c r="I14" s="163">
        <f t="shared" si="0"/>
        <v>187</v>
      </c>
      <c r="J14" s="163">
        <f>SUM(H14:I14)</f>
        <v>265</v>
      </c>
    </row>
    <row r="15" spans="1:10" s="103" customFormat="1" ht="12.75">
      <c r="A15" s="103" t="s">
        <v>36</v>
      </c>
      <c r="B15" s="162">
        <v>65</v>
      </c>
      <c r="C15" s="163">
        <v>218</v>
      </c>
      <c r="D15" s="163">
        <f>SUM(B15:C15)</f>
        <v>283</v>
      </c>
      <c r="E15" s="162">
        <v>47</v>
      </c>
      <c r="F15" s="163">
        <v>79</v>
      </c>
      <c r="G15" s="163">
        <f>SUM(E15:F15)</f>
        <v>126</v>
      </c>
      <c r="H15" s="162">
        <f t="shared" si="0"/>
        <v>112</v>
      </c>
      <c r="I15" s="163">
        <f t="shared" si="0"/>
        <v>297</v>
      </c>
      <c r="J15" s="163">
        <f>SUM(H15:I15)</f>
        <v>409</v>
      </c>
    </row>
    <row r="16" spans="1:10" s="103" customFormat="1" ht="12.75">
      <c r="A16" s="116" t="s">
        <v>5</v>
      </c>
      <c r="B16" s="165">
        <f>SUM(B12:B15)</f>
        <v>1521</v>
      </c>
      <c r="C16" s="166">
        <f aca="true" t="shared" si="1" ref="C16:J16">SUM(C12:C15)</f>
        <v>4224</v>
      </c>
      <c r="D16" s="166">
        <f t="shared" si="1"/>
        <v>5745</v>
      </c>
      <c r="E16" s="165">
        <f t="shared" si="1"/>
        <v>605</v>
      </c>
      <c r="F16" s="166">
        <f t="shared" si="1"/>
        <v>1344</v>
      </c>
      <c r="G16" s="166">
        <f t="shared" si="1"/>
        <v>1949</v>
      </c>
      <c r="H16" s="165">
        <f t="shared" si="1"/>
        <v>2126</v>
      </c>
      <c r="I16" s="166">
        <f t="shared" si="1"/>
        <v>5568</v>
      </c>
      <c r="J16" s="166">
        <f t="shared" si="1"/>
        <v>7694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33</v>
      </c>
      <c r="B19" s="162">
        <v>37</v>
      </c>
      <c r="C19" s="163">
        <v>214</v>
      </c>
      <c r="D19" s="163">
        <f>SUM(B19:C19)</f>
        <v>251</v>
      </c>
      <c r="E19" s="162">
        <v>21</v>
      </c>
      <c r="F19" s="163">
        <v>120</v>
      </c>
      <c r="G19" s="163">
        <f>SUM(E19:F19)</f>
        <v>141</v>
      </c>
      <c r="H19" s="162">
        <f aca="true" t="shared" si="2" ref="H19:I22">SUM(B19,E19)</f>
        <v>58</v>
      </c>
      <c r="I19" s="163">
        <f t="shared" si="2"/>
        <v>334</v>
      </c>
      <c r="J19" s="163">
        <f>SUM(H19:I19)</f>
        <v>392</v>
      </c>
    </row>
    <row r="20" spans="1:10" s="103" customFormat="1" ht="12.75">
      <c r="A20" s="103" t="s">
        <v>34</v>
      </c>
      <c r="B20" s="162">
        <v>107</v>
      </c>
      <c r="C20" s="163">
        <v>434</v>
      </c>
      <c r="D20" s="163">
        <f>SUM(B20:C20)</f>
        <v>541</v>
      </c>
      <c r="E20" s="162">
        <v>32</v>
      </c>
      <c r="F20" s="163">
        <v>208</v>
      </c>
      <c r="G20" s="163">
        <f>SUM(E20:F20)</f>
        <v>240</v>
      </c>
      <c r="H20" s="162">
        <f t="shared" si="2"/>
        <v>139</v>
      </c>
      <c r="I20" s="163">
        <f t="shared" si="2"/>
        <v>642</v>
      </c>
      <c r="J20" s="163">
        <f>SUM(H20:I20)</f>
        <v>781</v>
      </c>
    </row>
    <row r="21" spans="1:10" s="103" customFormat="1" ht="12.75">
      <c r="A21" s="103" t="s">
        <v>35</v>
      </c>
      <c r="B21" s="162">
        <v>4</v>
      </c>
      <c r="C21" s="163">
        <v>9</v>
      </c>
      <c r="D21" s="163">
        <f>SUM(B21:C21)</f>
        <v>13</v>
      </c>
      <c r="E21" s="164">
        <v>1</v>
      </c>
      <c r="F21" s="163">
        <v>7</v>
      </c>
      <c r="G21" s="163">
        <f>SUM(E21:F21)</f>
        <v>8</v>
      </c>
      <c r="H21" s="162">
        <f t="shared" si="2"/>
        <v>5</v>
      </c>
      <c r="I21" s="163">
        <f t="shared" si="2"/>
        <v>16</v>
      </c>
      <c r="J21" s="163">
        <f>SUM(H21:I21)</f>
        <v>21</v>
      </c>
    </row>
    <row r="22" spans="1:10" s="103" customFormat="1" ht="12.75">
      <c r="A22" s="103" t="s">
        <v>36</v>
      </c>
      <c r="B22" s="162">
        <v>16</v>
      </c>
      <c r="C22" s="163">
        <v>71</v>
      </c>
      <c r="D22" s="163">
        <f>SUM(B22:C22)</f>
        <v>87</v>
      </c>
      <c r="E22" s="162">
        <v>8</v>
      </c>
      <c r="F22" s="163">
        <v>40</v>
      </c>
      <c r="G22" s="163">
        <f>SUM(E22:F22)</f>
        <v>48</v>
      </c>
      <c r="H22" s="162">
        <f t="shared" si="2"/>
        <v>24</v>
      </c>
      <c r="I22" s="163">
        <f t="shared" si="2"/>
        <v>111</v>
      </c>
      <c r="J22" s="163">
        <f>SUM(H22:I22)</f>
        <v>135</v>
      </c>
    </row>
    <row r="23" spans="1:10" s="103" customFormat="1" ht="12.75">
      <c r="A23" s="116" t="s">
        <v>5</v>
      </c>
      <c r="B23" s="165">
        <f aca="true" t="shared" si="3" ref="B23:J23">SUM(B19:B22)</f>
        <v>164</v>
      </c>
      <c r="C23" s="166">
        <f t="shared" si="3"/>
        <v>728</v>
      </c>
      <c r="D23" s="166">
        <f t="shared" si="3"/>
        <v>892</v>
      </c>
      <c r="E23" s="165">
        <f t="shared" si="3"/>
        <v>62</v>
      </c>
      <c r="F23" s="166">
        <f t="shared" si="3"/>
        <v>375</v>
      </c>
      <c r="G23" s="166">
        <f t="shared" si="3"/>
        <v>437</v>
      </c>
      <c r="H23" s="165">
        <f t="shared" si="3"/>
        <v>226</v>
      </c>
      <c r="I23" s="166">
        <f t="shared" si="3"/>
        <v>1103</v>
      </c>
      <c r="J23" s="166">
        <f t="shared" si="3"/>
        <v>1329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33</v>
      </c>
      <c r="B26" s="162">
        <f aca="true" t="shared" si="4" ref="B26:C29">SUM(B12,B19)</f>
        <v>312</v>
      </c>
      <c r="C26" s="163">
        <f t="shared" si="4"/>
        <v>1213</v>
      </c>
      <c r="D26" s="163">
        <f>SUM(B26:C26)</f>
        <v>1525</v>
      </c>
      <c r="E26" s="162">
        <f aca="true" t="shared" si="5" ref="E26:F29">SUM(E12,E19)</f>
        <v>201</v>
      </c>
      <c r="F26" s="163">
        <f t="shared" si="5"/>
        <v>505</v>
      </c>
      <c r="G26" s="163">
        <f>SUM(E26:F26)</f>
        <v>706</v>
      </c>
      <c r="H26" s="162">
        <f aca="true" t="shared" si="6" ref="H26:I29">SUM(B26,E26)</f>
        <v>513</v>
      </c>
      <c r="I26" s="163">
        <f t="shared" si="6"/>
        <v>1718</v>
      </c>
      <c r="J26" s="163">
        <f>SUM(H26:I26)</f>
        <v>2231</v>
      </c>
    </row>
    <row r="27" spans="1:10" s="103" customFormat="1" ht="12.75">
      <c r="A27" s="103" t="s">
        <v>34</v>
      </c>
      <c r="B27" s="162">
        <f t="shared" si="4"/>
        <v>1231</v>
      </c>
      <c r="C27" s="163">
        <f t="shared" si="4"/>
        <v>3305</v>
      </c>
      <c r="D27" s="163">
        <f>SUM(B27:C27)</f>
        <v>4536</v>
      </c>
      <c r="E27" s="162">
        <f t="shared" si="5"/>
        <v>389</v>
      </c>
      <c r="F27" s="163">
        <f t="shared" si="5"/>
        <v>1037</v>
      </c>
      <c r="G27" s="163">
        <f>SUM(E27:F27)</f>
        <v>1426</v>
      </c>
      <c r="H27" s="162">
        <f t="shared" si="6"/>
        <v>1620</v>
      </c>
      <c r="I27" s="163">
        <f t="shared" si="6"/>
        <v>4342</v>
      </c>
      <c r="J27" s="163">
        <f>SUM(H27:I27)</f>
        <v>5962</v>
      </c>
    </row>
    <row r="28" spans="1:10" s="103" customFormat="1" ht="12.75">
      <c r="A28" s="103" t="s">
        <v>35</v>
      </c>
      <c r="B28" s="162">
        <f t="shared" si="4"/>
        <v>61</v>
      </c>
      <c r="C28" s="163">
        <f t="shared" si="4"/>
        <v>145</v>
      </c>
      <c r="D28" s="163">
        <f>SUM(B28:C28)</f>
        <v>206</v>
      </c>
      <c r="E28" s="164">
        <f t="shared" si="5"/>
        <v>22</v>
      </c>
      <c r="F28" s="163">
        <f t="shared" si="5"/>
        <v>58</v>
      </c>
      <c r="G28" s="163">
        <f>SUM(E28:F28)</f>
        <v>80</v>
      </c>
      <c r="H28" s="162">
        <f t="shared" si="6"/>
        <v>83</v>
      </c>
      <c r="I28" s="163">
        <f t="shared" si="6"/>
        <v>203</v>
      </c>
      <c r="J28" s="163">
        <f>SUM(H28:I28)</f>
        <v>286</v>
      </c>
    </row>
    <row r="29" spans="1:10" s="103" customFormat="1" ht="12.75">
      <c r="A29" s="103" t="s">
        <v>36</v>
      </c>
      <c r="B29" s="162">
        <f t="shared" si="4"/>
        <v>81</v>
      </c>
      <c r="C29" s="163">
        <f t="shared" si="4"/>
        <v>289</v>
      </c>
      <c r="D29" s="163">
        <f>SUM(B29:C29)</f>
        <v>370</v>
      </c>
      <c r="E29" s="162">
        <f t="shared" si="5"/>
        <v>55</v>
      </c>
      <c r="F29" s="163">
        <f t="shared" si="5"/>
        <v>119</v>
      </c>
      <c r="G29" s="163">
        <f>SUM(E29:F29)</f>
        <v>174</v>
      </c>
      <c r="H29" s="162">
        <f t="shared" si="6"/>
        <v>136</v>
      </c>
      <c r="I29" s="163">
        <f t="shared" si="6"/>
        <v>408</v>
      </c>
      <c r="J29" s="163">
        <f>SUM(H29:I29)</f>
        <v>544</v>
      </c>
    </row>
    <row r="30" spans="1:10" s="103" customFormat="1" ht="12.75">
      <c r="A30" s="116" t="s">
        <v>5</v>
      </c>
      <c r="B30" s="165">
        <f aca="true" t="shared" si="7" ref="B30:J30">SUM(B26:B29)</f>
        <v>1685</v>
      </c>
      <c r="C30" s="166">
        <f t="shared" si="7"/>
        <v>4952</v>
      </c>
      <c r="D30" s="166">
        <f>SUM(B30:C30)</f>
        <v>6637</v>
      </c>
      <c r="E30" s="165">
        <f t="shared" si="7"/>
        <v>667</v>
      </c>
      <c r="F30" s="166">
        <f t="shared" si="7"/>
        <v>1719</v>
      </c>
      <c r="G30" s="166">
        <f>SUM(E30:F30)</f>
        <v>2386</v>
      </c>
      <c r="H30" s="165">
        <f t="shared" si="7"/>
        <v>2352</v>
      </c>
      <c r="I30" s="166">
        <f t="shared" si="7"/>
        <v>6671</v>
      </c>
      <c r="J30" s="166">
        <f t="shared" si="7"/>
        <v>9023</v>
      </c>
    </row>
    <row r="31" s="103" customFormat="1" ht="12.75"/>
    <row r="32" spans="1:11" s="191" customFormat="1" ht="12.75">
      <c r="A32" s="201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202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3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96" sqref="A96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60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31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63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19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20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21</v>
      </c>
      <c r="B13" s="135">
        <f aca="true" t="shared" si="0" ref="B13:J13">SUM(B36,B52,B68,B84)</f>
        <v>0</v>
      </c>
      <c r="C13" s="124">
        <f t="shared" si="0"/>
        <v>5</v>
      </c>
      <c r="D13" s="124">
        <f t="shared" si="0"/>
        <v>5</v>
      </c>
      <c r="E13" s="135">
        <f t="shared" si="0"/>
        <v>159</v>
      </c>
      <c r="F13" s="124">
        <f t="shared" si="0"/>
        <v>207</v>
      </c>
      <c r="G13" s="124">
        <f t="shared" si="0"/>
        <v>366</v>
      </c>
      <c r="H13" s="135">
        <f t="shared" si="0"/>
        <v>159</v>
      </c>
      <c r="I13" s="124">
        <f t="shared" si="0"/>
        <v>212</v>
      </c>
      <c r="J13" s="124">
        <f t="shared" si="0"/>
        <v>371</v>
      </c>
    </row>
    <row r="14" spans="1:10" ht="12" customHeight="1">
      <c r="A14" s="118" t="s">
        <v>22</v>
      </c>
      <c r="B14" s="135">
        <f aca="true" t="shared" si="1" ref="B14:J14">SUM(B37,B53,B69,B85)</f>
        <v>72</v>
      </c>
      <c r="C14" s="124">
        <f t="shared" si="1"/>
        <v>123</v>
      </c>
      <c r="D14" s="124">
        <f t="shared" si="1"/>
        <v>195</v>
      </c>
      <c r="E14" s="135">
        <f t="shared" si="1"/>
        <v>209</v>
      </c>
      <c r="F14" s="124">
        <f t="shared" si="1"/>
        <v>318</v>
      </c>
      <c r="G14" s="124">
        <f t="shared" si="1"/>
        <v>527</v>
      </c>
      <c r="H14" s="135">
        <f t="shared" si="1"/>
        <v>281</v>
      </c>
      <c r="I14" s="124">
        <f t="shared" si="1"/>
        <v>441</v>
      </c>
      <c r="J14" s="124">
        <f t="shared" si="1"/>
        <v>722</v>
      </c>
    </row>
    <row r="15" spans="1:10" ht="12" customHeight="1">
      <c r="A15" s="118" t="s">
        <v>23</v>
      </c>
      <c r="B15" s="135">
        <f aca="true" t="shared" si="2" ref="B15:J15">SUM(B38,B54,B70,B86)</f>
        <v>195</v>
      </c>
      <c r="C15" s="124">
        <f t="shared" si="2"/>
        <v>372</v>
      </c>
      <c r="D15" s="124">
        <f t="shared" si="2"/>
        <v>567</v>
      </c>
      <c r="E15" s="135">
        <f t="shared" si="2"/>
        <v>109</v>
      </c>
      <c r="F15" s="124">
        <f t="shared" si="2"/>
        <v>212</v>
      </c>
      <c r="G15" s="124">
        <f t="shared" si="2"/>
        <v>321</v>
      </c>
      <c r="H15" s="135">
        <f t="shared" si="2"/>
        <v>304</v>
      </c>
      <c r="I15" s="124">
        <f t="shared" si="2"/>
        <v>584</v>
      </c>
      <c r="J15" s="124">
        <f t="shared" si="2"/>
        <v>888</v>
      </c>
    </row>
    <row r="16" spans="1:10" ht="12" customHeight="1">
      <c r="A16" s="118" t="s">
        <v>24</v>
      </c>
      <c r="B16" s="135">
        <f aca="true" t="shared" si="3" ref="B16:J16">SUM(B39,B55,B71,B87)</f>
        <v>158</v>
      </c>
      <c r="C16" s="124">
        <f t="shared" si="3"/>
        <v>378</v>
      </c>
      <c r="D16" s="124">
        <f t="shared" si="3"/>
        <v>536</v>
      </c>
      <c r="E16" s="135">
        <f t="shared" si="3"/>
        <v>48</v>
      </c>
      <c r="F16" s="124">
        <f t="shared" si="3"/>
        <v>180</v>
      </c>
      <c r="G16" s="124">
        <f t="shared" si="3"/>
        <v>228</v>
      </c>
      <c r="H16" s="135">
        <f t="shared" si="3"/>
        <v>206</v>
      </c>
      <c r="I16" s="124">
        <f t="shared" si="3"/>
        <v>558</v>
      </c>
      <c r="J16" s="124">
        <f t="shared" si="3"/>
        <v>764</v>
      </c>
    </row>
    <row r="17" spans="1:10" ht="12" customHeight="1">
      <c r="A17" s="118" t="s">
        <v>25</v>
      </c>
      <c r="B17" s="135">
        <f aca="true" t="shared" si="4" ref="B17:J17">SUM(B40,B56,B72,B88)</f>
        <v>127</v>
      </c>
      <c r="C17" s="124">
        <f t="shared" si="4"/>
        <v>516</v>
      </c>
      <c r="D17" s="124">
        <f t="shared" si="4"/>
        <v>643</v>
      </c>
      <c r="E17" s="135">
        <f t="shared" si="4"/>
        <v>22</v>
      </c>
      <c r="F17" s="124">
        <f t="shared" si="4"/>
        <v>195</v>
      </c>
      <c r="G17" s="124">
        <f t="shared" si="4"/>
        <v>217</v>
      </c>
      <c r="H17" s="135">
        <f t="shared" si="4"/>
        <v>149</v>
      </c>
      <c r="I17" s="124">
        <f t="shared" si="4"/>
        <v>711</v>
      </c>
      <c r="J17" s="124">
        <f t="shared" si="4"/>
        <v>860</v>
      </c>
    </row>
    <row r="18" spans="1:10" ht="12" customHeight="1">
      <c r="A18" s="118" t="s">
        <v>26</v>
      </c>
      <c r="B18" s="135">
        <f aca="true" t="shared" si="5" ref="B18:J18">SUM(B41,B57,B73,B89)</f>
        <v>135</v>
      </c>
      <c r="C18" s="124">
        <f t="shared" si="5"/>
        <v>668</v>
      </c>
      <c r="D18" s="124">
        <f t="shared" si="5"/>
        <v>803</v>
      </c>
      <c r="E18" s="135">
        <f t="shared" si="5"/>
        <v>28</v>
      </c>
      <c r="F18" s="124">
        <f t="shared" si="5"/>
        <v>122</v>
      </c>
      <c r="G18" s="124">
        <f t="shared" si="5"/>
        <v>150</v>
      </c>
      <c r="H18" s="135">
        <f t="shared" si="5"/>
        <v>163</v>
      </c>
      <c r="I18" s="124">
        <f t="shared" si="5"/>
        <v>790</v>
      </c>
      <c r="J18" s="124">
        <f t="shared" si="5"/>
        <v>953</v>
      </c>
    </row>
    <row r="19" spans="1:10" ht="12" customHeight="1">
      <c r="A19" s="118" t="s">
        <v>27</v>
      </c>
      <c r="B19" s="135">
        <f aca="true" t="shared" si="6" ref="B19:J19">SUM(B42,B58,B74,B90)</f>
        <v>245</v>
      </c>
      <c r="C19" s="124">
        <f t="shared" si="6"/>
        <v>854</v>
      </c>
      <c r="D19" s="124">
        <f t="shared" si="6"/>
        <v>1099</v>
      </c>
      <c r="E19" s="135">
        <f t="shared" si="6"/>
        <v>17</v>
      </c>
      <c r="F19" s="124">
        <f t="shared" si="6"/>
        <v>82</v>
      </c>
      <c r="G19" s="124">
        <f t="shared" si="6"/>
        <v>99</v>
      </c>
      <c r="H19" s="135">
        <f t="shared" si="6"/>
        <v>262</v>
      </c>
      <c r="I19" s="124">
        <f t="shared" si="6"/>
        <v>936</v>
      </c>
      <c r="J19" s="124">
        <f t="shared" si="6"/>
        <v>1198</v>
      </c>
    </row>
    <row r="20" spans="1:10" ht="12" customHeight="1">
      <c r="A20" s="118" t="s">
        <v>28</v>
      </c>
      <c r="B20" s="135">
        <f aca="true" t="shared" si="7" ref="B20:J20">SUM(B43,B59,B75,B91)</f>
        <v>450</v>
      </c>
      <c r="C20" s="124">
        <f t="shared" si="7"/>
        <v>1078</v>
      </c>
      <c r="D20" s="124">
        <f t="shared" si="7"/>
        <v>1528</v>
      </c>
      <c r="E20" s="135">
        <f t="shared" si="7"/>
        <v>11</v>
      </c>
      <c r="F20" s="124">
        <f t="shared" si="7"/>
        <v>24</v>
      </c>
      <c r="G20" s="124">
        <f t="shared" si="7"/>
        <v>35</v>
      </c>
      <c r="H20" s="135">
        <f t="shared" si="7"/>
        <v>461</v>
      </c>
      <c r="I20" s="124">
        <f t="shared" si="7"/>
        <v>1102</v>
      </c>
      <c r="J20" s="124">
        <f t="shared" si="7"/>
        <v>1563</v>
      </c>
    </row>
    <row r="21" spans="1:10" ht="12" customHeight="1">
      <c r="A21" s="118" t="s">
        <v>29</v>
      </c>
      <c r="B21" s="135">
        <f aca="true" t="shared" si="8" ref="B21:J21">SUM(B44,B60,B76,B92)</f>
        <v>139</v>
      </c>
      <c r="C21" s="124">
        <f t="shared" si="8"/>
        <v>230</v>
      </c>
      <c r="D21" s="136">
        <f t="shared" si="8"/>
        <v>369</v>
      </c>
      <c r="E21" s="135">
        <f t="shared" si="8"/>
        <v>2</v>
      </c>
      <c r="F21" s="124">
        <f t="shared" si="8"/>
        <v>4</v>
      </c>
      <c r="G21" s="136">
        <f t="shared" si="8"/>
        <v>6</v>
      </c>
      <c r="H21" s="135">
        <f t="shared" si="8"/>
        <v>141</v>
      </c>
      <c r="I21" s="124">
        <f t="shared" si="8"/>
        <v>234</v>
      </c>
      <c r="J21" s="136">
        <f t="shared" si="8"/>
        <v>375</v>
      </c>
    </row>
    <row r="22" spans="1:10" ht="12" customHeight="1">
      <c r="A22" s="137" t="s">
        <v>5</v>
      </c>
      <c r="B22" s="138">
        <f aca="true" t="shared" si="9" ref="B22:J22">SUM(B45,B61,B77,B93)</f>
        <v>1521</v>
      </c>
      <c r="C22" s="139">
        <f t="shared" si="9"/>
        <v>4224</v>
      </c>
      <c r="D22" s="139">
        <f t="shared" si="9"/>
        <v>5745</v>
      </c>
      <c r="E22" s="138">
        <f t="shared" si="9"/>
        <v>605</v>
      </c>
      <c r="F22" s="139">
        <f t="shared" si="9"/>
        <v>1344</v>
      </c>
      <c r="G22" s="139">
        <f t="shared" si="9"/>
        <v>1949</v>
      </c>
      <c r="H22" s="138">
        <f t="shared" si="9"/>
        <v>2126</v>
      </c>
      <c r="I22" s="139">
        <f t="shared" si="9"/>
        <v>5568</v>
      </c>
      <c r="J22" s="139">
        <f t="shared" si="9"/>
        <v>7694</v>
      </c>
    </row>
    <row r="24" spans="1:10" ht="12" customHeight="1">
      <c r="A24" s="1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31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63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32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20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21</v>
      </c>
      <c r="B36" s="135">
        <v>0</v>
      </c>
      <c r="C36" s="124">
        <v>2</v>
      </c>
      <c r="D36" s="124">
        <f>SUM(B36:C36)</f>
        <v>2</v>
      </c>
      <c r="E36" s="135">
        <v>53</v>
      </c>
      <c r="F36" s="124">
        <v>64</v>
      </c>
      <c r="G36" s="124">
        <f aca="true" t="shared" si="10" ref="G36:G44">SUM(E36:F36)</f>
        <v>117</v>
      </c>
      <c r="H36" s="135">
        <f>SUM(B36,E36)</f>
        <v>53</v>
      </c>
      <c r="I36" s="124">
        <f>SUM(C36,F36)</f>
        <v>66</v>
      </c>
      <c r="J36" s="124">
        <f aca="true" t="shared" si="11" ref="J36:J44">SUM(H36:I36)</f>
        <v>119</v>
      </c>
    </row>
    <row r="37" spans="1:10" ht="12" customHeight="1">
      <c r="A37" s="118" t="s">
        <v>22</v>
      </c>
      <c r="B37" s="135">
        <v>11</v>
      </c>
      <c r="C37" s="124">
        <v>38</v>
      </c>
      <c r="D37" s="124">
        <f aca="true" t="shared" si="12" ref="D37:D44">SUM(B37:C37)</f>
        <v>49</v>
      </c>
      <c r="E37" s="135">
        <v>45</v>
      </c>
      <c r="F37" s="124">
        <v>71</v>
      </c>
      <c r="G37" s="124">
        <f t="shared" si="10"/>
        <v>116</v>
      </c>
      <c r="H37" s="135">
        <f aca="true" t="shared" si="13" ref="H37:I44">SUM(B37,E37)</f>
        <v>56</v>
      </c>
      <c r="I37" s="124">
        <f t="shared" si="13"/>
        <v>109</v>
      </c>
      <c r="J37" s="124">
        <f t="shared" si="11"/>
        <v>165</v>
      </c>
    </row>
    <row r="38" spans="1:10" ht="12" customHeight="1">
      <c r="A38" s="118" t="s">
        <v>23</v>
      </c>
      <c r="B38" s="135">
        <v>40</v>
      </c>
      <c r="C38" s="124">
        <v>93</v>
      </c>
      <c r="D38" s="124">
        <f t="shared" si="12"/>
        <v>133</v>
      </c>
      <c r="E38" s="135">
        <v>36</v>
      </c>
      <c r="F38" s="124">
        <v>50</v>
      </c>
      <c r="G38" s="124">
        <f t="shared" si="10"/>
        <v>86</v>
      </c>
      <c r="H38" s="135">
        <f t="shared" si="13"/>
        <v>76</v>
      </c>
      <c r="I38" s="124">
        <f t="shared" si="13"/>
        <v>143</v>
      </c>
      <c r="J38" s="124">
        <f t="shared" si="11"/>
        <v>219</v>
      </c>
    </row>
    <row r="39" spans="1:10" ht="12" customHeight="1">
      <c r="A39" s="118" t="s">
        <v>24</v>
      </c>
      <c r="B39" s="133">
        <v>31</v>
      </c>
      <c r="C39" s="124">
        <v>90</v>
      </c>
      <c r="D39" s="124">
        <f t="shared" si="12"/>
        <v>121</v>
      </c>
      <c r="E39" s="135">
        <v>16</v>
      </c>
      <c r="F39" s="124">
        <v>57</v>
      </c>
      <c r="G39" s="124">
        <f t="shared" si="10"/>
        <v>73</v>
      </c>
      <c r="H39" s="135">
        <f t="shared" si="13"/>
        <v>47</v>
      </c>
      <c r="I39" s="124">
        <f t="shared" si="13"/>
        <v>147</v>
      </c>
      <c r="J39" s="124">
        <f t="shared" si="11"/>
        <v>194</v>
      </c>
    </row>
    <row r="40" spans="1:10" ht="12" customHeight="1">
      <c r="A40" s="118" t="s">
        <v>25</v>
      </c>
      <c r="B40" s="133">
        <v>26</v>
      </c>
      <c r="C40" s="124">
        <v>125</v>
      </c>
      <c r="D40" s="124">
        <f t="shared" si="12"/>
        <v>151</v>
      </c>
      <c r="E40" s="135">
        <v>10</v>
      </c>
      <c r="F40" s="124">
        <v>58</v>
      </c>
      <c r="G40" s="124">
        <f t="shared" si="10"/>
        <v>68</v>
      </c>
      <c r="H40" s="135">
        <f t="shared" si="13"/>
        <v>36</v>
      </c>
      <c r="I40" s="124">
        <f t="shared" si="13"/>
        <v>183</v>
      </c>
      <c r="J40" s="124">
        <f t="shared" si="11"/>
        <v>219</v>
      </c>
    </row>
    <row r="41" spans="1:10" ht="12" customHeight="1">
      <c r="A41" s="118" t="s">
        <v>26</v>
      </c>
      <c r="B41" s="133">
        <v>22</v>
      </c>
      <c r="C41" s="124">
        <v>130</v>
      </c>
      <c r="D41" s="124">
        <f t="shared" si="12"/>
        <v>152</v>
      </c>
      <c r="E41" s="135">
        <v>8</v>
      </c>
      <c r="F41" s="124">
        <v>36</v>
      </c>
      <c r="G41" s="124">
        <f t="shared" si="10"/>
        <v>44</v>
      </c>
      <c r="H41" s="135">
        <f t="shared" si="13"/>
        <v>30</v>
      </c>
      <c r="I41" s="124">
        <f t="shared" si="13"/>
        <v>166</v>
      </c>
      <c r="J41" s="124">
        <f t="shared" si="11"/>
        <v>196</v>
      </c>
    </row>
    <row r="42" spans="1:10" ht="12" customHeight="1">
      <c r="A42" s="118" t="s">
        <v>27</v>
      </c>
      <c r="B42" s="133">
        <v>35</v>
      </c>
      <c r="C42" s="124">
        <v>182</v>
      </c>
      <c r="D42" s="124">
        <f t="shared" si="12"/>
        <v>217</v>
      </c>
      <c r="E42" s="135">
        <v>6</v>
      </c>
      <c r="F42" s="124">
        <v>34</v>
      </c>
      <c r="G42" s="124">
        <f t="shared" si="10"/>
        <v>40</v>
      </c>
      <c r="H42" s="135">
        <f t="shared" si="13"/>
        <v>41</v>
      </c>
      <c r="I42" s="124">
        <f t="shared" si="13"/>
        <v>216</v>
      </c>
      <c r="J42" s="124">
        <f t="shared" si="11"/>
        <v>257</v>
      </c>
    </row>
    <row r="43" spans="1:10" ht="12" customHeight="1">
      <c r="A43" s="118" t="s">
        <v>28</v>
      </c>
      <c r="B43" s="133">
        <v>77</v>
      </c>
      <c r="C43" s="124">
        <v>253</v>
      </c>
      <c r="D43" s="124">
        <f t="shared" si="12"/>
        <v>330</v>
      </c>
      <c r="E43" s="135">
        <v>5</v>
      </c>
      <c r="F43" s="124">
        <v>13</v>
      </c>
      <c r="G43" s="124">
        <f t="shared" si="10"/>
        <v>18</v>
      </c>
      <c r="H43" s="135">
        <f t="shared" si="13"/>
        <v>82</v>
      </c>
      <c r="I43" s="124">
        <f t="shared" si="13"/>
        <v>266</v>
      </c>
      <c r="J43" s="124">
        <f t="shared" si="11"/>
        <v>348</v>
      </c>
    </row>
    <row r="44" spans="1:10" ht="12" customHeight="1">
      <c r="A44" s="118" t="s">
        <v>29</v>
      </c>
      <c r="B44" s="133">
        <f>32+1</f>
        <v>33</v>
      </c>
      <c r="C44" s="124">
        <f>84+2</f>
        <v>86</v>
      </c>
      <c r="D44" s="136">
        <f t="shared" si="12"/>
        <v>119</v>
      </c>
      <c r="E44" s="135">
        <v>1</v>
      </c>
      <c r="F44" s="124">
        <v>2</v>
      </c>
      <c r="G44" s="136">
        <f t="shared" si="10"/>
        <v>3</v>
      </c>
      <c r="H44" s="135">
        <f t="shared" si="13"/>
        <v>34</v>
      </c>
      <c r="I44" s="124">
        <f t="shared" si="13"/>
        <v>88</v>
      </c>
      <c r="J44" s="136">
        <f t="shared" si="11"/>
        <v>122</v>
      </c>
    </row>
    <row r="45" spans="1:10" ht="12" customHeight="1">
      <c r="A45" s="137" t="s">
        <v>5</v>
      </c>
      <c r="B45" s="138">
        <f>SUM(B36:B44)</f>
        <v>275</v>
      </c>
      <c r="C45" s="139">
        <f aca="true" t="shared" si="14" ref="C45:J45">SUM(C36:C44)</f>
        <v>999</v>
      </c>
      <c r="D45" s="139">
        <f t="shared" si="14"/>
        <v>1274</v>
      </c>
      <c r="E45" s="138">
        <f t="shared" si="14"/>
        <v>180</v>
      </c>
      <c r="F45" s="139">
        <f t="shared" si="14"/>
        <v>385</v>
      </c>
      <c r="G45" s="139">
        <f t="shared" si="14"/>
        <v>565</v>
      </c>
      <c r="H45" s="138">
        <f t="shared" si="14"/>
        <v>455</v>
      </c>
      <c r="I45" s="139">
        <f t="shared" si="14"/>
        <v>1384</v>
      </c>
      <c r="J45" s="139">
        <f t="shared" si="14"/>
        <v>1839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20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21</v>
      </c>
      <c r="B52" s="135">
        <f>0-0</f>
        <v>0</v>
      </c>
      <c r="C52" s="124">
        <f>3-0</f>
        <v>3</v>
      </c>
      <c r="D52" s="124">
        <f>SUM(B52:C52)</f>
        <v>3</v>
      </c>
      <c r="E52" s="135">
        <f>78-0</f>
        <v>78</v>
      </c>
      <c r="F52" s="124">
        <f>121-0</f>
        <v>121</v>
      </c>
      <c r="G52" s="124">
        <f aca="true" t="shared" si="15" ref="G52:G60">SUM(E52:F52)</f>
        <v>199</v>
      </c>
      <c r="H52" s="135">
        <f>SUM(B52,E52)</f>
        <v>78</v>
      </c>
      <c r="I52" s="124">
        <f>SUM(C52,F52)</f>
        <v>124</v>
      </c>
      <c r="J52" s="124">
        <f aca="true" t="shared" si="16" ref="J52:J60">SUM(H52:I52)</f>
        <v>202</v>
      </c>
    </row>
    <row r="53" spans="1:10" ht="12" customHeight="1">
      <c r="A53" s="118" t="s">
        <v>22</v>
      </c>
      <c r="B53" s="135">
        <f>54-0</f>
        <v>54</v>
      </c>
      <c r="C53" s="124">
        <f>76-0</f>
        <v>76</v>
      </c>
      <c r="D53" s="124">
        <f aca="true" t="shared" si="17" ref="D53:D60">SUM(B53:C53)</f>
        <v>130</v>
      </c>
      <c r="E53" s="135">
        <f>144-0</f>
        <v>144</v>
      </c>
      <c r="F53" s="124">
        <f>212-1</f>
        <v>211</v>
      </c>
      <c r="G53" s="124">
        <f t="shared" si="15"/>
        <v>355</v>
      </c>
      <c r="H53" s="135">
        <f aca="true" t="shared" si="18" ref="H53:I60">SUM(B53,E53)</f>
        <v>198</v>
      </c>
      <c r="I53" s="124">
        <f t="shared" si="18"/>
        <v>287</v>
      </c>
      <c r="J53" s="124">
        <f t="shared" si="16"/>
        <v>485</v>
      </c>
    </row>
    <row r="54" spans="1:10" ht="12" customHeight="1">
      <c r="A54" s="118" t="s">
        <v>23</v>
      </c>
      <c r="B54" s="135">
        <f>139-0</f>
        <v>139</v>
      </c>
      <c r="C54" s="124">
        <f>253-2</f>
        <v>251</v>
      </c>
      <c r="D54" s="124">
        <f t="shared" si="17"/>
        <v>390</v>
      </c>
      <c r="E54" s="135">
        <f>68-0</f>
        <v>68</v>
      </c>
      <c r="F54" s="124">
        <f>140-0</f>
        <v>140</v>
      </c>
      <c r="G54" s="124">
        <f t="shared" si="15"/>
        <v>208</v>
      </c>
      <c r="H54" s="135">
        <f t="shared" si="18"/>
        <v>207</v>
      </c>
      <c r="I54" s="124">
        <f t="shared" si="18"/>
        <v>391</v>
      </c>
      <c r="J54" s="124">
        <f t="shared" si="16"/>
        <v>598</v>
      </c>
    </row>
    <row r="55" spans="1:10" ht="12" customHeight="1">
      <c r="A55" s="118" t="s">
        <v>24</v>
      </c>
      <c r="B55" s="133">
        <f>113-0</f>
        <v>113</v>
      </c>
      <c r="C55" s="124">
        <f>250-1</f>
        <v>249</v>
      </c>
      <c r="D55" s="124">
        <f t="shared" si="17"/>
        <v>362</v>
      </c>
      <c r="E55" s="135">
        <f>29-0</f>
        <v>29</v>
      </c>
      <c r="F55" s="124">
        <f>109-1</f>
        <v>108</v>
      </c>
      <c r="G55" s="124">
        <f t="shared" si="15"/>
        <v>137</v>
      </c>
      <c r="H55" s="135">
        <f t="shared" si="18"/>
        <v>142</v>
      </c>
      <c r="I55" s="124">
        <f t="shared" si="18"/>
        <v>357</v>
      </c>
      <c r="J55" s="124">
        <f t="shared" si="16"/>
        <v>499</v>
      </c>
    </row>
    <row r="56" spans="1:10" ht="12" customHeight="1">
      <c r="A56" s="118" t="s">
        <v>25</v>
      </c>
      <c r="B56" s="133">
        <f>92-1</f>
        <v>91</v>
      </c>
      <c r="C56" s="124">
        <f>351-5</f>
        <v>346</v>
      </c>
      <c r="D56" s="124">
        <f t="shared" si="17"/>
        <v>437</v>
      </c>
      <c r="E56" s="135">
        <f>8-0</f>
        <v>8</v>
      </c>
      <c r="F56" s="124">
        <f>125-1</f>
        <v>124</v>
      </c>
      <c r="G56" s="124">
        <f t="shared" si="15"/>
        <v>132</v>
      </c>
      <c r="H56" s="135">
        <f t="shared" si="18"/>
        <v>99</v>
      </c>
      <c r="I56" s="124">
        <f t="shared" si="18"/>
        <v>470</v>
      </c>
      <c r="J56" s="124">
        <f t="shared" si="16"/>
        <v>569</v>
      </c>
    </row>
    <row r="57" spans="1:10" ht="12" customHeight="1">
      <c r="A57" s="118" t="s">
        <v>26</v>
      </c>
      <c r="B57" s="133">
        <f>102-1</f>
        <v>101</v>
      </c>
      <c r="C57" s="124">
        <f>472-1</f>
        <v>471</v>
      </c>
      <c r="D57" s="124">
        <f t="shared" si="17"/>
        <v>572</v>
      </c>
      <c r="E57" s="135">
        <f>15-0</f>
        <v>15</v>
      </c>
      <c r="F57" s="124">
        <f>72-1</f>
        <v>71</v>
      </c>
      <c r="G57" s="124">
        <f t="shared" si="15"/>
        <v>86</v>
      </c>
      <c r="H57" s="135">
        <f t="shared" si="18"/>
        <v>116</v>
      </c>
      <c r="I57" s="124">
        <f t="shared" si="18"/>
        <v>542</v>
      </c>
      <c r="J57" s="124">
        <f t="shared" si="16"/>
        <v>658</v>
      </c>
    </row>
    <row r="58" spans="1:10" ht="12" customHeight="1">
      <c r="A58" s="118" t="s">
        <v>27</v>
      </c>
      <c r="B58" s="133">
        <f>197-0</f>
        <v>197</v>
      </c>
      <c r="C58" s="124">
        <f>602-4</f>
        <v>598</v>
      </c>
      <c r="D58" s="124">
        <f t="shared" si="17"/>
        <v>795</v>
      </c>
      <c r="E58" s="135">
        <f>9-0</f>
        <v>9</v>
      </c>
      <c r="F58" s="124">
        <f>44-0</f>
        <v>44</v>
      </c>
      <c r="G58" s="124">
        <f t="shared" si="15"/>
        <v>53</v>
      </c>
      <c r="H58" s="135">
        <f t="shared" si="18"/>
        <v>206</v>
      </c>
      <c r="I58" s="124">
        <f t="shared" si="18"/>
        <v>642</v>
      </c>
      <c r="J58" s="124">
        <f t="shared" si="16"/>
        <v>848</v>
      </c>
    </row>
    <row r="59" spans="1:10" ht="12" customHeight="1">
      <c r="A59" s="118" t="s">
        <v>28</v>
      </c>
      <c r="B59" s="133">
        <f>334-0</f>
        <v>334</v>
      </c>
      <c r="C59" s="124">
        <f>756-3</f>
        <v>753</v>
      </c>
      <c r="D59" s="124">
        <f t="shared" si="17"/>
        <v>1087</v>
      </c>
      <c r="E59" s="135">
        <f>5-0</f>
        <v>5</v>
      </c>
      <c r="F59" s="124">
        <f>8-0</f>
        <v>8</v>
      </c>
      <c r="G59" s="124">
        <f t="shared" si="15"/>
        <v>13</v>
      </c>
      <c r="H59" s="135">
        <f t="shared" si="18"/>
        <v>339</v>
      </c>
      <c r="I59" s="124">
        <f t="shared" si="18"/>
        <v>761</v>
      </c>
      <c r="J59" s="124">
        <f t="shared" si="16"/>
        <v>1100</v>
      </c>
    </row>
    <row r="60" spans="1:10" ht="12" customHeight="1">
      <c r="A60" s="118" t="s">
        <v>29</v>
      </c>
      <c r="B60" s="133">
        <f>94+1-0</f>
        <v>95</v>
      </c>
      <c r="C60" s="124">
        <f>122+3-1</f>
        <v>124</v>
      </c>
      <c r="D60" s="136">
        <f t="shared" si="17"/>
        <v>219</v>
      </c>
      <c r="E60" s="135">
        <f>1-0</f>
        <v>1</v>
      </c>
      <c r="F60" s="124">
        <f>2-0</f>
        <v>2</v>
      </c>
      <c r="G60" s="136">
        <f t="shared" si="15"/>
        <v>3</v>
      </c>
      <c r="H60" s="135">
        <f t="shared" si="18"/>
        <v>96</v>
      </c>
      <c r="I60" s="124">
        <f t="shared" si="18"/>
        <v>126</v>
      </c>
      <c r="J60" s="136">
        <f t="shared" si="16"/>
        <v>222</v>
      </c>
    </row>
    <row r="61" spans="1:10" ht="12" customHeight="1">
      <c r="A61" s="137" t="s">
        <v>5</v>
      </c>
      <c r="B61" s="138">
        <f>SUM(B52:B60)</f>
        <v>1124</v>
      </c>
      <c r="C61" s="139">
        <f aca="true" t="shared" si="19" ref="C61:J61">SUM(C52:C60)</f>
        <v>2871</v>
      </c>
      <c r="D61" s="139">
        <f t="shared" si="19"/>
        <v>3995</v>
      </c>
      <c r="E61" s="138">
        <f t="shared" si="19"/>
        <v>357</v>
      </c>
      <c r="F61" s="139">
        <f t="shared" si="19"/>
        <v>829</v>
      </c>
      <c r="G61" s="139">
        <f t="shared" si="19"/>
        <v>1186</v>
      </c>
      <c r="H61" s="138">
        <f t="shared" si="19"/>
        <v>1481</v>
      </c>
      <c r="I61" s="139">
        <f t="shared" si="19"/>
        <v>3700</v>
      </c>
      <c r="J61" s="139">
        <f t="shared" si="19"/>
        <v>5181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20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21</v>
      </c>
      <c r="B68" s="135">
        <v>0</v>
      </c>
      <c r="C68" s="124">
        <v>0</v>
      </c>
      <c r="D68" s="124">
        <f>SUM(B68:C68)</f>
        <v>0</v>
      </c>
      <c r="E68" s="135">
        <v>7</v>
      </c>
      <c r="F68" s="124">
        <v>5</v>
      </c>
      <c r="G68" s="124">
        <f aca="true" t="shared" si="20" ref="G68:G76">SUM(E68:F68)</f>
        <v>12</v>
      </c>
      <c r="H68" s="135">
        <f>SUM(B68,E68)</f>
        <v>7</v>
      </c>
      <c r="I68" s="124">
        <f>SUM(C68,F68)</f>
        <v>5</v>
      </c>
      <c r="J68" s="124">
        <f aca="true" t="shared" si="21" ref="J68:J76">SUM(H68:I68)</f>
        <v>12</v>
      </c>
    </row>
    <row r="69" spans="1:10" ht="12" customHeight="1">
      <c r="A69" s="118" t="s">
        <v>22</v>
      </c>
      <c r="B69" s="135">
        <v>4</v>
      </c>
      <c r="C69" s="124">
        <v>1</v>
      </c>
      <c r="D69" s="124">
        <f aca="true" t="shared" si="22" ref="D69:D76">SUM(B69:C69)</f>
        <v>5</v>
      </c>
      <c r="E69" s="135">
        <v>6</v>
      </c>
      <c r="F69" s="124">
        <v>13</v>
      </c>
      <c r="G69" s="124">
        <f t="shared" si="20"/>
        <v>19</v>
      </c>
      <c r="H69" s="135">
        <f aca="true" t="shared" si="23" ref="H69:I76">SUM(B69,E69)</f>
        <v>10</v>
      </c>
      <c r="I69" s="124">
        <f t="shared" si="23"/>
        <v>14</v>
      </c>
      <c r="J69" s="124">
        <f t="shared" si="21"/>
        <v>24</v>
      </c>
    </row>
    <row r="70" spans="1:10" ht="12" customHeight="1">
      <c r="A70" s="118" t="s">
        <v>23</v>
      </c>
      <c r="B70" s="135">
        <v>8</v>
      </c>
      <c r="C70" s="124">
        <v>12</v>
      </c>
      <c r="D70" s="124">
        <f t="shared" si="22"/>
        <v>20</v>
      </c>
      <c r="E70" s="135">
        <v>1</v>
      </c>
      <c r="F70" s="124">
        <v>9</v>
      </c>
      <c r="G70" s="124">
        <f t="shared" si="20"/>
        <v>10</v>
      </c>
      <c r="H70" s="135">
        <f t="shared" si="23"/>
        <v>9</v>
      </c>
      <c r="I70" s="124">
        <f t="shared" si="23"/>
        <v>21</v>
      </c>
      <c r="J70" s="124">
        <f t="shared" si="21"/>
        <v>30</v>
      </c>
    </row>
    <row r="71" spans="1:10" ht="12" customHeight="1">
      <c r="A71" s="118" t="s">
        <v>24</v>
      </c>
      <c r="B71" s="133">
        <v>8</v>
      </c>
      <c r="C71" s="124">
        <v>14</v>
      </c>
      <c r="D71" s="124">
        <f t="shared" si="22"/>
        <v>22</v>
      </c>
      <c r="E71" s="135">
        <v>1</v>
      </c>
      <c r="F71" s="124">
        <v>9</v>
      </c>
      <c r="G71" s="124">
        <f t="shared" si="20"/>
        <v>10</v>
      </c>
      <c r="H71" s="135">
        <f t="shared" si="23"/>
        <v>9</v>
      </c>
      <c r="I71" s="124">
        <f t="shared" si="23"/>
        <v>23</v>
      </c>
      <c r="J71" s="124">
        <f t="shared" si="21"/>
        <v>32</v>
      </c>
    </row>
    <row r="72" spans="1:10" ht="12" customHeight="1">
      <c r="A72" s="118" t="s">
        <v>25</v>
      </c>
      <c r="B72" s="133">
        <v>3</v>
      </c>
      <c r="C72" s="124">
        <v>19</v>
      </c>
      <c r="D72" s="124">
        <f t="shared" si="22"/>
        <v>22</v>
      </c>
      <c r="E72" s="135">
        <v>2</v>
      </c>
      <c r="F72" s="124">
        <v>6</v>
      </c>
      <c r="G72" s="124">
        <f t="shared" si="20"/>
        <v>8</v>
      </c>
      <c r="H72" s="135">
        <f t="shared" si="23"/>
        <v>5</v>
      </c>
      <c r="I72" s="124">
        <f t="shared" si="23"/>
        <v>25</v>
      </c>
      <c r="J72" s="124">
        <f t="shared" si="21"/>
        <v>30</v>
      </c>
    </row>
    <row r="73" spans="1:10" ht="12" customHeight="1">
      <c r="A73" s="118" t="s">
        <v>26</v>
      </c>
      <c r="B73" s="133">
        <v>5</v>
      </c>
      <c r="C73" s="124">
        <v>28</v>
      </c>
      <c r="D73" s="124">
        <f t="shared" si="22"/>
        <v>33</v>
      </c>
      <c r="E73" s="135">
        <v>1</v>
      </c>
      <c r="F73" s="124">
        <v>7</v>
      </c>
      <c r="G73" s="124">
        <f t="shared" si="20"/>
        <v>8</v>
      </c>
      <c r="H73" s="135">
        <f t="shared" si="23"/>
        <v>6</v>
      </c>
      <c r="I73" s="124">
        <f t="shared" si="23"/>
        <v>35</v>
      </c>
      <c r="J73" s="124">
        <f t="shared" si="21"/>
        <v>41</v>
      </c>
    </row>
    <row r="74" spans="1:10" ht="12" customHeight="1">
      <c r="A74" s="118" t="s">
        <v>27</v>
      </c>
      <c r="B74" s="133">
        <v>7</v>
      </c>
      <c r="C74" s="124">
        <v>31</v>
      </c>
      <c r="D74" s="124">
        <f t="shared" si="22"/>
        <v>38</v>
      </c>
      <c r="E74" s="135">
        <v>2</v>
      </c>
      <c r="F74" s="124">
        <v>2</v>
      </c>
      <c r="G74" s="124">
        <f t="shared" si="20"/>
        <v>4</v>
      </c>
      <c r="H74" s="135">
        <f t="shared" si="23"/>
        <v>9</v>
      </c>
      <c r="I74" s="124">
        <f t="shared" si="23"/>
        <v>33</v>
      </c>
      <c r="J74" s="124">
        <f t="shared" si="21"/>
        <v>42</v>
      </c>
    </row>
    <row r="75" spans="1:10" ht="12" customHeight="1">
      <c r="A75" s="118" t="s">
        <v>28</v>
      </c>
      <c r="B75" s="133">
        <v>17</v>
      </c>
      <c r="C75" s="124">
        <v>28</v>
      </c>
      <c r="D75" s="124">
        <f t="shared" si="22"/>
        <v>45</v>
      </c>
      <c r="E75" s="135">
        <v>1</v>
      </c>
      <c r="F75" s="124">
        <v>0</v>
      </c>
      <c r="G75" s="124">
        <f t="shared" si="20"/>
        <v>1</v>
      </c>
      <c r="H75" s="135">
        <f t="shared" si="23"/>
        <v>18</v>
      </c>
      <c r="I75" s="124">
        <f t="shared" si="23"/>
        <v>28</v>
      </c>
      <c r="J75" s="124">
        <f t="shared" si="21"/>
        <v>46</v>
      </c>
    </row>
    <row r="76" spans="1:10" ht="12" customHeight="1">
      <c r="A76" s="118" t="s">
        <v>29</v>
      </c>
      <c r="B76" s="133">
        <v>5</v>
      </c>
      <c r="C76" s="124">
        <v>3</v>
      </c>
      <c r="D76" s="136">
        <f t="shared" si="22"/>
        <v>8</v>
      </c>
      <c r="E76" s="135">
        <v>0</v>
      </c>
      <c r="F76" s="124">
        <v>0</v>
      </c>
      <c r="G76" s="136">
        <f t="shared" si="20"/>
        <v>0</v>
      </c>
      <c r="H76" s="135">
        <f t="shared" si="23"/>
        <v>5</v>
      </c>
      <c r="I76" s="124">
        <f t="shared" si="23"/>
        <v>3</v>
      </c>
      <c r="J76" s="136">
        <f t="shared" si="21"/>
        <v>8</v>
      </c>
    </row>
    <row r="77" spans="1:10" ht="12" customHeight="1">
      <c r="A77" s="137" t="s">
        <v>5</v>
      </c>
      <c r="B77" s="138">
        <f>SUM(B68:B76)</f>
        <v>57</v>
      </c>
      <c r="C77" s="139">
        <f aca="true" t="shared" si="24" ref="C77:J77">SUM(C68:C76)</f>
        <v>136</v>
      </c>
      <c r="D77" s="139">
        <f t="shared" si="24"/>
        <v>193</v>
      </c>
      <c r="E77" s="138">
        <f t="shared" si="24"/>
        <v>21</v>
      </c>
      <c r="F77" s="139">
        <f t="shared" si="24"/>
        <v>51</v>
      </c>
      <c r="G77" s="139">
        <f t="shared" si="24"/>
        <v>72</v>
      </c>
      <c r="H77" s="138">
        <f t="shared" si="24"/>
        <v>78</v>
      </c>
      <c r="I77" s="139">
        <f t="shared" si="24"/>
        <v>187</v>
      </c>
      <c r="J77" s="139">
        <f t="shared" si="24"/>
        <v>265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20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21</v>
      </c>
      <c r="B84" s="135">
        <v>0</v>
      </c>
      <c r="C84" s="124">
        <v>0</v>
      </c>
      <c r="D84" s="124">
        <f>SUM(B84:C84)</f>
        <v>0</v>
      </c>
      <c r="E84" s="135">
        <v>21</v>
      </c>
      <c r="F84" s="124">
        <v>17</v>
      </c>
      <c r="G84" s="124">
        <f aca="true" t="shared" si="25" ref="G84:G92">SUM(E84:F84)</f>
        <v>38</v>
      </c>
      <c r="H84" s="135">
        <f>SUM(B84,E84)</f>
        <v>21</v>
      </c>
      <c r="I84" s="124">
        <f>SUM(C84,F84)</f>
        <v>17</v>
      </c>
      <c r="J84" s="124">
        <f aca="true" t="shared" si="26" ref="J84:J92">SUM(H84:I84)</f>
        <v>38</v>
      </c>
    </row>
    <row r="85" spans="1:10" ht="12" customHeight="1">
      <c r="A85" s="118" t="s">
        <v>22</v>
      </c>
      <c r="B85" s="135">
        <v>3</v>
      </c>
      <c r="C85" s="124">
        <v>8</v>
      </c>
      <c r="D85" s="124">
        <f aca="true" t="shared" si="27" ref="D85:D92">SUM(B85:C85)</f>
        <v>11</v>
      </c>
      <c r="E85" s="135">
        <v>14</v>
      </c>
      <c r="F85" s="124">
        <v>23</v>
      </c>
      <c r="G85" s="124">
        <f t="shared" si="25"/>
        <v>37</v>
      </c>
      <c r="H85" s="135">
        <f aca="true" t="shared" si="28" ref="H85:I92">SUM(B85,E85)</f>
        <v>17</v>
      </c>
      <c r="I85" s="124">
        <f t="shared" si="28"/>
        <v>31</v>
      </c>
      <c r="J85" s="124">
        <f t="shared" si="26"/>
        <v>48</v>
      </c>
    </row>
    <row r="86" spans="1:10" ht="12" customHeight="1">
      <c r="A86" s="118" t="s">
        <v>23</v>
      </c>
      <c r="B86" s="135">
        <v>8</v>
      </c>
      <c r="C86" s="124">
        <v>16</v>
      </c>
      <c r="D86" s="124">
        <f t="shared" si="27"/>
        <v>24</v>
      </c>
      <c r="E86" s="135">
        <v>4</v>
      </c>
      <c r="F86" s="124">
        <v>13</v>
      </c>
      <c r="G86" s="124">
        <f t="shared" si="25"/>
        <v>17</v>
      </c>
      <c r="H86" s="135">
        <f t="shared" si="28"/>
        <v>12</v>
      </c>
      <c r="I86" s="124">
        <f t="shared" si="28"/>
        <v>29</v>
      </c>
      <c r="J86" s="124">
        <f t="shared" si="26"/>
        <v>41</v>
      </c>
    </row>
    <row r="87" spans="1:10" ht="12" customHeight="1">
      <c r="A87" s="118" t="s">
        <v>24</v>
      </c>
      <c r="B87" s="133">
        <v>6</v>
      </c>
      <c r="C87" s="124">
        <v>25</v>
      </c>
      <c r="D87" s="124">
        <f t="shared" si="27"/>
        <v>31</v>
      </c>
      <c r="E87" s="135">
        <v>2</v>
      </c>
      <c r="F87" s="124">
        <v>6</v>
      </c>
      <c r="G87" s="124">
        <f t="shared" si="25"/>
        <v>8</v>
      </c>
      <c r="H87" s="135">
        <f t="shared" si="28"/>
        <v>8</v>
      </c>
      <c r="I87" s="124">
        <f t="shared" si="28"/>
        <v>31</v>
      </c>
      <c r="J87" s="124">
        <f t="shared" si="26"/>
        <v>39</v>
      </c>
    </row>
    <row r="88" spans="1:10" ht="12" customHeight="1">
      <c r="A88" s="118" t="s">
        <v>25</v>
      </c>
      <c r="B88" s="133">
        <v>7</v>
      </c>
      <c r="C88" s="124">
        <v>26</v>
      </c>
      <c r="D88" s="124">
        <f t="shared" si="27"/>
        <v>33</v>
      </c>
      <c r="E88" s="135">
        <v>2</v>
      </c>
      <c r="F88" s="124">
        <v>7</v>
      </c>
      <c r="G88" s="124">
        <f t="shared" si="25"/>
        <v>9</v>
      </c>
      <c r="H88" s="135">
        <f t="shared" si="28"/>
        <v>9</v>
      </c>
      <c r="I88" s="124">
        <f t="shared" si="28"/>
        <v>33</v>
      </c>
      <c r="J88" s="124">
        <f t="shared" si="26"/>
        <v>42</v>
      </c>
    </row>
    <row r="89" spans="1:10" ht="12" customHeight="1">
      <c r="A89" s="118" t="s">
        <v>26</v>
      </c>
      <c r="B89" s="133">
        <v>7</v>
      </c>
      <c r="C89" s="124">
        <v>39</v>
      </c>
      <c r="D89" s="124">
        <f t="shared" si="27"/>
        <v>46</v>
      </c>
      <c r="E89" s="135">
        <v>4</v>
      </c>
      <c r="F89" s="124">
        <v>8</v>
      </c>
      <c r="G89" s="124">
        <f t="shared" si="25"/>
        <v>12</v>
      </c>
      <c r="H89" s="135">
        <f t="shared" si="28"/>
        <v>11</v>
      </c>
      <c r="I89" s="124">
        <f t="shared" si="28"/>
        <v>47</v>
      </c>
      <c r="J89" s="124">
        <f t="shared" si="26"/>
        <v>58</v>
      </c>
    </row>
    <row r="90" spans="1:10" ht="12" customHeight="1">
      <c r="A90" s="118" t="s">
        <v>27</v>
      </c>
      <c r="B90" s="133">
        <v>6</v>
      </c>
      <c r="C90" s="124">
        <v>43</v>
      </c>
      <c r="D90" s="124">
        <f t="shared" si="27"/>
        <v>49</v>
      </c>
      <c r="E90" s="135">
        <v>0</v>
      </c>
      <c r="F90" s="124">
        <v>2</v>
      </c>
      <c r="G90" s="124">
        <f t="shared" si="25"/>
        <v>2</v>
      </c>
      <c r="H90" s="135">
        <f t="shared" si="28"/>
        <v>6</v>
      </c>
      <c r="I90" s="124">
        <f t="shared" si="28"/>
        <v>45</v>
      </c>
      <c r="J90" s="124">
        <f t="shared" si="26"/>
        <v>51</v>
      </c>
    </row>
    <row r="91" spans="1:10" ht="12" customHeight="1">
      <c r="A91" s="118" t="s">
        <v>28</v>
      </c>
      <c r="B91" s="133">
        <v>22</v>
      </c>
      <c r="C91" s="124">
        <v>44</v>
      </c>
      <c r="D91" s="124">
        <f t="shared" si="27"/>
        <v>66</v>
      </c>
      <c r="E91" s="135">
        <v>0</v>
      </c>
      <c r="F91" s="124">
        <v>3</v>
      </c>
      <c r="G91" s="124">
        <f t="shared" si="25"/>
        <v>3</v>
      </c>
      <c r="H91" s="135">
        <f t="shared" si="28"/>
        <v>22</v>
      </c>
      <c r="I91" s="124">
        <f t="shared" si="28"/>
        <v>47</v>
      </c>
      <c r="J91" s="124">
        <f t="shared" si="26"/>
        <v>69</v>
      </c>
    </row>
    <row r="92" spans="1:10" ht="12" customHeight="1">
      <c r="A92" s="118" t="s">
        <v>29</v>
      </c>
      <c r="B92" s="133">
        <v>6</v>
      </c>
      <c r="C92" s="124">
        <v>17</v>
      </c>
      <c r="D92" s="136">
        <f t="shared" si="27"/>
        <v>23</v>
      </c>
      <c r="E92" s="135">
        <v>0</v>
      </c>
      <c r="F92" s="124">
        <v>0</v>
      </c>
      <c r="G92" s="136">
        <f t="shared" si="25"/>
        <v>0</v>
      </c>
      <c r="H92" s="135">
        <f t="shared" si="28"/>
        <v>6</v>
      </c>
      <c r="I92" s="124">
        <f t="shared" si="28"/>
        <v>17</v>
      </c>
      <c r="J92" s="136">
        <f t="shared" si="26"/>
        <v>23</v>
      </c>
    </row>
    <row r="93" spans="1:10" ht="12" customHeight="1">
      <c r="A93" s="137" t="s">
        <v>5</v>
      </c>
      <c r="B93" s="138">
        <f>SUM(B84:B92)</f>
        <v>65</v>
      </c>
      <c r="C93" s="139">
        <f aca="true" t="shared" si="29" ref="C93:J93">SUM(C84:C92)</f>
        <v>218</v>
      </c>
      <c r="D93" s="139">
        <f t="shared" si="29"/>
        <v>283</v>
      </c>
      <c r="E93" s="138">
        <f t="shared" si="29"/>
        <v>47</v>
      </c>
      <c r="F93" s="139">
        <f t="shared" si="29"/>
        <v>79</v>
      </c>
      <c r="G93" s="139">
        <f t="shared" si="29"/>
        <v>126</v>
      </c>
      <c r="H93" s="138">
        <f t="shared" si="29"/>
        <v>112</v>
      </c>
      <c r="I93" s="139">
        <f t="shared" si="29"/>
        <v>297</v>
      </c>
      <c r="J93" s="139">
        <f t="shared" si="29"/>
        <v>409</v>
      </c>
    </row>
    <row r="95" spans="1:11" s="191" customFormat="1" ht="12.75">
      <c r="A95" s="201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202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3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2012-08-07T08:55:22Z</cp:lastPrinted>
  <dcterms:created xsi:type="dcterms:W3CDTF">1999-11-09T10:40:34Z</dcterms:created>
  <dcterms:modified xsi:type="dcterms:W3CDTF">2012-08-22T14:11:33Z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