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7200" windowHeight="9120" activeTab="0"/>
  </bookViews>
  <sheets>
    <sheet name="INHOUD" sheetId="1" r:id="rId1"/>
    <sheet name="11PHOG01" sheetId="2" r:id="rId2"/>
    <sheet name="11PHOG02" sheetId="3" r:id="rId3"/>
    <sheet name="11PHOG03" sheetId="4" r:id="rId4"/>
    <sheet name="11PUNIV01" sheetId="5" r:id="rId5"/>
    <sheet name="11PUNIV02" sheetId="6" r:id="rId6"/>
  </sheets>
  <definedNames>
    <definedName name="_xlnm.Print_Area" localSheetId="1">'11PHOG01'!$A$1:$J$35</definedName>
    <definedName name="_xlnm.Print_Area" localSheetId="2">'11PHOG02'!$A$1:$J$36</definedName>
    <definedName name="_xlnm.Print_Area" localSheetId="3">'11PHOG03'!$A$1:$J$33</definedName>
  </definedNames>
  <calcPr fullCalcOnLoad="1"/>
</workbook>
</file>

<file path=xl/sharedStrings.xml><?xml version="1.0" encoding="utf-8"?>
<sst xmlns="http://schemas.openxmlformats.org/spreadsheetml/2006/main" count="230" uniqueCount="76">
  <si>
    <t>BESTUURS- EN ONDERWIJZEND PERSONEEL NAAR STATUUT EN GESLACHT</t>
  </si>
  <si>
    <t>HOGESCHOLENONDERWIJS</t>
  </si>
  <si>
    <t>Vastbenoemden</t>
  </si>
  <si>
    <t>Tijdelijken</t>
  </si>
  <si>
    <t>Totaal</t>
  </si>
  <si>
    <t>Mannen</t>
  </si>
  <si>
    <t>Vrouwen</t>
  </si>
  <si>
    <t>ANDERE PERSONEELSCATEGORIEËN NAAR STATUUT EN GESLACHT</t>
  </si>
  <si>
    <t xml:space="preserve">        Vastbenoemden</t>
  </si>
  <si>
    <t xml:space="preserve">        Tijdelijken</t>
  </si>
  <si>
    <t xml:space="preserve">        Totaal</t>
  </si>
  <si>
    <t>,</t>
  </si>
  <si>
    <t>BESTUURS- EN ONDERWIJZEND PERSONEEL NAAR LEEFTIJD, STATUUT EN GESLACHT</t>
  </si>
  <si>
    <t>Leeftijd</t>
  </si>
  <si>
    <t>20-24</t>
  </si>
  <si>
    <t>25-29</t>
  </si>
  <si>
    <t>30-34</t>
  </si>
  <si>
    <t>35-39</t>
  </si>
  <si>
    <t>40-44</t>
  </si>
  <si>
    <t>45-49</t>
  </si>
  <si>
    <t>50-54</t>
  </si>
  <si>
    <t>55-59</t>
  </si>
  <si>
    <t>60+</t>
  </si>
  <si>
    <t>ANDERE PERSONEELSCATEGORIEËN NAAR LEEFTIJD, STATUUT EN GESLACHT</t>
  </si>
  <si>
    <t>PERSONEEL HOGESCHOLENONDERWIJS</t>
  </si>
  <si>
    <t>Bestuurs- en onderwijzend personeel naar statuut en geslacht - budgettaire fulltime-equivalenten</t>
  </si>
  <si>
    <t>09PHOG01</t>
  </si>
  <si>
    <t>09PHOG02</t>
  </si>
  <si>
    <t>09PHOG03</t>
  </si>
  <si>
    <t>Budgettaire fulltime-equivalenten</t>
  </si>
  <si>
    <t>Aantal personen</t>
  </si>
  <si>
    <t>PERSONEEL UNIVERSITAIR ONDERWIJS</t>
  </si>
  <si>
    <t>09PUNIV01</t>
  </si>
  <si>
    <t>09PUNIV02</t>
  </si>
  <si>
    <t>UNIVERSITAIR ONDERWIJS</t>
  </si>
  <si>
    <t>PERSONEEL AAN DE UNIVERSITEITEN BETAALD TEN LASTE VAN DE WERKINGSUITKERINGEN</t>
  </si>
  <si>
    <t>Zelfstandig academisch personeel</t>
  </si>
  <si>
    <t>Assisterend academisch personeel</t>
  </si>
  <si>
    <t>Administratief en technisch personeel</t>
  </si>
  <si>
    <t>Katholieke Universiteit Leuven</t>
  </si>
  <si>
    <t>Universiteit  Gent</t>
  </si>
  <si>
    <t>Vrije Universiteit Brussel</t>
  </si>
  <si>
    <t>Katholieke Universiteit Brussel</t>
  </si>
  <si>
    <t xml:space="preserve">Universiteit Hasselt (1) </t>
  </si>
  <si>
    <t>Universiteit Antwerpen</t>
  </si>
  <si>
    <t>(1) Het personeel van de transnationale Universiteit Limburg wordt in deze tabel bij dat van Universiteit Hasselt geteld.</t>
  </si>
  <si>
    <t>Aantal voltijdse eenheden op 1 februari</t>
  </si>
  <si>
    <t>Academisch personeel</t>
  </si>
  <si>
    <t>- Zelfstandig academisch personeel</t>
  </si>
  <si>
    <t>- Assisterend academisch personeel</t>
  </si>
  <si>
    <t>Algemeen totaal</t>
  </si>
  <si>
    <t>Bestuurspersoneel binnen het</t>
  </si>
  <si>
    <t>administratief en technisch personeel (1)</t>
  </si>
  <si>
    <t xml:space="preserve">(1) Dit is een door de Stafdiensten Onderwijs en Vorming opgestelde categorie die bestaat uit de beheerders en de graden 10, 11, 12, 13, 15, 16, 17 van het administratief en technisch personeel.                             </t>
  </si>
  <si>
    <t>Zelfstandig academisch</t>
  </si>
  <si>
    <t>Assisterend academisch</t>
  </si>
  <si>
    <t>Administratief en technisch</t>
  </si>
  <si>
    <t xml:space="preserve">Bestuurspersoneel binnen het </t>
  </si>
  <si>
    <t>personeel</t>
  </si>
  <si>
    <t xml:space="preserve">administratief en technisch </t>
  </si>
  <si>
    <t>personeel (1)</t>
  </si>
  <si>
    <t>&lt;30</t>
  </si>
  <si>
    <t>60-64</t>
  </si>
  <si>
    <t>65 en +</t>
  </si>
  <si>
    <t>Academisch, administratief- en technisch, en bestuurspersoneel - voltijdse eenheden</t>
  </si>
  <si>
    <t>Bestuurs- en onderwijzend personeel naar leeftijd, statuut en geslacht - aantal personen</t>
  </si>
  <si>
    <t>Andere personeelscategorieën naar leeftijd, statuut en geslacht - aantal personen</t>
  </si>
  <si>
    <t>Academisch, administratief- en technisch, en bestuurspersoneel - aantal personen</t>
  </si>
  <si>
    <t>Bron : Vlaamse Interuniversitaire Raad (VLIR), Ravensteingalerij 27, 1000 Brussel.</t>
  </si>
  <si>
    <t>Academiejaar 2011-2012</t>
  </si>
  <si>
    <t>Aantal personen (inclusief alle vervangingen, TBS+ en Bonus) - januari 2012</t>
  </si>
  <si>
    <t>Aantal personen (inclusief alle vervangingen, TBS+ en Bonus) -  januari 2012</t>
  </si>
  <si>
    <t>Aantal budgettaire fulltime-equivalenten (inclusief alle vervangingen, TBS+ en Bonus) - januari 2012 (1)</t>
  </si>
  <si>
    <t>(1) De budgettaire fulltime-equivalenten voor januari 2012 kunnen lager uitvallen dan normaal door een staking.</t>
  </si>
  <si>
    <t>Aantal voltijdse eenheden op 1 februari 2012</t>
  </si>
  <si>
    <t>Aantal personen op 1 februari 2012</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</si>
</sst>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 _B_F_-;\-* #,##0.00\ _B_F_-;_-* &quot;-&quot;??\ _B_F_-;_-@_-"/>
    <numFmt numFmtId="165" formatCode="#,##0;0;&quot;-&quot;"/>
    <numFmt numFmtId="166" formatCode="#,##0.0;0.0;&quot;-&quot;"/>
  </numFmts>
  <fonts count="42">
    <font>
      <sz val="10"/>
      <name val="MS Sans Serif"/>
      <family val="0"/>
    </font>
    <font>
      <sz val="11"/>
      <color indexed="8"/>
      <name val="Calibri"/>
      <family val="2"/>
    </font>
    <font>
      <b/>
      <sz val="10"/>
      <name val="Arial"/>
      <family val="2"/>
    </font>
    <font>
      <sz val="10"/>
      <name val="Arial"/>
      <family val="2"/>
    </font>
    <font>
      <sz val="10"/>
      <color indexed="9"/>
      <name val="Arial"/>
      <family val="2"/>
    </font>
    <font>
      <sz val="8"/>
      <name val="MS Sans Serif"/>
      <family val="2"/>
    </font>
    <font>
      <sz val="8"/>
      <name val="Arial"/>
      <family val="2"/>
    </font>
    <font>
      <i/>
      <sz val="10"/>
      <name val="Arial"/>
      <family val="2"/>
    </font>
    <font>
      <b/>
      <sz val="12"/>
      <name val="Arial"/>
      <family val="2"/>
    </font>
    <font>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thin"/>
      <right/>
      <top style="medium"/>
      <bottom style="thin"/>
    </border>
    <border>
      <left/>
      <right/>
      <top style="medium"/>
      <bottom style="thin"/>
    </border>
    <border>
      <left/>
      <right/>
      <top/>
      <bottom style="thin"/>
    </border>
    <border>
      <left style="thin"/>
      <right/>
      <top/>
      <bottom style="thin"/>
    </border>
    <border>
      <left style="thin"/>
      <right/>
      <top/>
      <bottom/>
    </border>
    <border>
      <left style="thin"/>
      <right/>
      <top style="medium"/>
      <bottom/>
    </border>
    <border>
      <left style="thin"/>
      <right/>
      <top style="thin"/>
      <bottom style="thin"/>
    </border>
    <border>
      <left/>
      <right/>
      <top style="thin"/>
      <bottom style="thin"/>
    </border>
    <border>
      <left style="thin"/>
      <right/>
      <top style="thin"/>
      <bottom/>
    </border>
    <border>
      <left/>
      <right/>
      <top style="thin"/>
      <bottom/>
    </border>
    <border>
      <left/>
      <right style="thin"/>
      <top style="medium"/>
      <bottom/>
    </border>
    <border>
      <left/>
      <right style="thin"/>
      <top/>
      <bottom style="thin"/>
    </border>
    <border>
      <left/>
      <right style="thin"/>
      <top/>
      <bottom/>
    </border>
    <border>
      <left/>
      <right style="thin"/>
      <top style="medium"/>
      <bottom style="thin"/>
    </border>
    <border>
      <left/>
      <right style="thin"/>
      <top style="thin"/>
      <bottom style="thin"/>
    </border>
    <border>
      <left/>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0" fillId="31" borderId="7" applyNumberFormat="0" applyFont="0" applyAlignment="0" applyProtection="0"/>
    <xf numFmtId="0" fontId="36" fillId="32" borderId="0" applyNumberFormat="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6" fillId="0" borderId="0">
      <alignment/>
      <protection/>
    </xf>
    <xf numFmtId="0" fontId="37" fillId="0" borderId="0" applyNumberFormat="0" applyFill="0" applyBorder="0" applyAlignment="0" applyProtection="0"/>
    <xf numFmtId="0" fontId="38" fillId="0" borderId="8" applyNumberFormat="0" applyFill="0" applyAlignment="0" applyProtection="0"/>
    <xf numFmtId="0" fontId="39"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175">
    <xf numFmtId="0" fontId="0" fillId="0" borderId="0" xfId="0" applyAlignment="1">
      <alignment/>
    </xf>
    <xf numFmtId="3" fontId="2" fillId="0" borderId="0" xfId="0" applyNumberFormat="1" applyFont="1" applyAlignment="1">
      <alignment/>
    </xf>
    <xf numFmtId="3" fontId="3" fillId="0" borderId="0" xfId="0" applyNumberFormat="1" applyFont="1" applyAlignment="1">
      <alignment/>
    </xf>
    <xf numFmtId="3" fontId="2" fillId="0" borderId="0" xfId="0" applyNumberFormat="1" applyFont="1" applyAlignment="1">
      <alignment horizontal="centerContinuous"/>
    </xf>
    <xf numFmtId="3" fontId="3" fillId="0" borderId="0" xfId="0" applyNumberFormat="1" applyFont="1" applyAlignment="1">
      <alignment horizontal="centerContinuous"/>
    </xf>
    <xf numFmtId="0" fontId="3" fillId="0" borderId="0" xfId="0" applyFont="1" applyAlignment="1">
      <alignment horizontal="centerContinuous"/>
    </xf>
    <xf numFmtId="3" fontId="3" fillId="0" borderId="10" xfId="0" applyNumberFormat="1" applyFont="1" applyBorder="1" applyAlignment="1">
      <alignment/>
    </xf>
    <xf numFmtId="3" fontId="3" fillId="0" borderId="11" xfId="0" applyNumberFormat="1" applyFont="1" applyBorder="1" applyAlignment="1">
      <alignment/>
    </xf>
    <xf numFmtId="3" fontId="3" fillId="0" borderId="12" xfId="0" applyNumberFormat="1" applyFont="1" applyBorder="1" applyAlignment="1">
      <alignment horizontal="center"/>
    </xf>
    <xf numFmtId="3" fontId="3" fillId="0" borderId="12" xfId="0" applyNumberFormat="1" applyFont="1" applyBorder="1" applyAlignment="1">
      <alignment/>
    </xf>
    <xf numFmtId="3" fontId="3" fillId="0" borderId="12" xfId="0" applyNumberFormat="1" applyFont="1" applyBorder="1" applyAlignment="1">
      <alignment/>
    </xf>
    <xf numFmtId="3" fontId="3" fillId="0" borderId="13" xfId="0" applyNumberFormat="1" applyFont="1" applyBorder="1" applyAlignment="1">
      <alignment/>
    </xf>
    <xf numFmtId="3" fontId="3" fillId="0" borderId="14" xfId="0" applyNumberFormat="1" applyFont="1" applyBorder="1" applyAlignment="1">
      <alignment horizontal="right"/>
    </xf>
    <xf numFmtId="3" fontId="3" fillId="0" borderId="13" xfId="0" applyNumberFormat="1" applyFont="1" applyBorder="1" applyAlignment="1">
      <alignment horizontal="right"/>
    </xf>
    <xf numFmtId="3" fontId="3" fillId="0" borderId="0" xfId="0" applyNumberFormat="1" applyFont="1" applyBorder="1" applyAlignment="1">
      <alignment/>
    </xf>
    <xf numFmtId="3" fontId="3" fillId="0" borderId="15" xfId="0" applyNumberFormat="1" applyFont="1" applyBorder="1" applyAlignment="1">
      <alignment horizontal="right"/>
    </xf>
    <xf numFmtId="3" fontId="3" fillId="0" borderId="0" xfId="0" applyNumberFormat="1" applyFont="1" applyBorder="1" applyAlignment="1">
      <alignment horizontal="right"/>
    </xf>
    <xf numFmtId="3" fontId="2" fillId="0" borderId="0" xfId="0" applyNumberFormat="1" applyFont="1" applyAlignment="1">
      <alignment horizontal="right"/>
    </xf>
    <xf numFmtId="3" fontId="2" fillId="0" borderId="0" xfId="0" applyNumberFormat="1" applyFont="1" applyBorder="1" applyAlignment="1">
      <alignment/>
    </xf>
    <xf numFmtId="165" fontId="2" fillId="0" borderId="0" xfId="0" applyNumberFormat="1" applyFont="1" applyBorder="1" applyAlignment="1">
      <alignment/>
    </xf>
    <xf numFmtId="3" fontId="2" fillId="0" borderId="0" xfId="0" applyNumberFormat="1" applyFont="1" applyBorder="1" applyAlignment="1">
      <alignment horizontal="right"/>
    </xf>
    <xf numFmtId="3" fontId="4" fillId="0" borderId="0" xfId="0" applyNumberFormat="1" applyFont="1" applyAlignment="1">
      <alignment horizontal="centerContinuous"/>
    </xf>
    <xf numFmtId="3" fontId="3" fillId="0" borderId="10" xfId="0" applyNumberFormat="1" applyFont="1" applyBorder="1" applyAlignment="1">
      <alignment horizontal="center"/>
    </xf>
    <xf numFmtId="3" fontId="3" fillId="0" borderId="16" xfId="0" applyNumberFormat="1" applyFont="1" applyBorder="1" applyAlignment="1">
      <alignment horizontal="center"/>
    </xf>
    <xf numFmtId="3" fontId="3" fillId="0" borderId="0" xfId="0" applyNumberFormat="1" applyFont="1" applyAlignment="1">
      <alignment horizontal="center"/>
    </xf>
    <xf numFmtId="3" fontId="3" fillId="0" borderId="17" xfId="0" applyNumberFormat="1" applyFont="1" applyBorder="1" applyAlignment="1">
      <alignment horizontal="right"/>
    </xf>
    <xf numFmtId="3" fontId="3" fillId="0" borderId="18" xfId="0" applyNumberFormat="1" applyFont="1" applyBorder="1" applyAlignment="1">
      <alignment horizontal="right"/>
    </xf>
    <xf numFmtId="3" fontId="3" fillId="0" borderId="0" xfId="55" applyNumberFormat="1" applyFont="1">
      <alignment/>
      <protection/>
    </xf>
    <xf numFmtId="3" fontId="2" fillId="0" borderId="0" xfId="55" applyNumberFormat="1" applyFont="1" applyAlignment="1">
      <alignment horizontal="centerContinuous"/>
      <protection/>
    </xf>
    <xf numFmtId="3" fontId="3" fillId="0" borderId="0" xfId="55" applyNumberFormat="1" applyFont="1" applyAlignment="1">
      <alignment horizontal="centerContinuous"/>
      <protection/>
    </xf>
    <xf numFmtId="0" fontId="3" fillId="0" borderId="0" xfId="55" applyFont="1" applyAlignment="1">
      <alignment horizontal="centerContinuous"/>
      <protection/>
    </xf>
    <xf numFmtId="0" fontId="3" fillId="0" borderId="0" xfId="55" applyFont="1">
      <alignment/>
      <protection/>
    </xf>
    <xf numFmtId="165" fontId="3" fillId="0" borderId="0" xfId="55" applyNumberFormat="1" applyFont="1">
      <alignment/>
      <protection/>
    </xf>
    <xf numFmtId="165" fontId="3" fillId="0" borderId="0" xfId="55" applyNumberFormat="1" applyFont="1" applyAlignment="1">
      <alignment horizontal="centerContinuous"/>
      <protection/>
    </xf>
    <xf numFmtId="165" fontId="2" fillId="0" borderId="0" xfId="55" applyNumberFormat="1" applyFont="1" applyAlignment="1">
      <alignment horizontal="centerContinuous"/>
      <protection/>
    </xf>
    <xf numFmtId="3" fontId="3" fillId="0" borderId="10" xfId="55" applyNumberFormat="1" applyFont="1" applyBorder="1" applyAlignment="1">
      <alignment horizontal="center"/>
      <protection/>
    </xf>
    <xf numFmtId="165" fontId="3" fillId="0" borderId="16" xfId="55" applyNumberFormat="1" applyFont="1" applyBorder="1" applyAlignment="1">
      <alignment horizontal="centerContinuous"/>
      <protection/>
    </xf>
    <xf numFmtId="165" fontId="3" fillId="0" borderId="10" xfId="55" applyNumberFormat="1" applyFont="1" applyBorder="1" applyAlignment="1">
      <alignment horizontal="centerContinuous"/>
      <protection/>
    </xf>
    <xf numFmtId="165" fontId="3" fillId="0" borderId="17" xfId="55" applyNumberFormat="1" applyFont="1" applyBorder="1" applyAlignment="1">
      <alignment horizontal="centerContinuous"/>
      <protection/>
    </xf>
    <xf numFmtId="165" fontId="3" fillId="0" borderId="18" xfId="55" applyNumberFormat="1" applyFont="1" applyBorder="1" applyAlignment="1">
      <alignment horizontal="centerContinuous"/>
      <protection/>
    </xf>
    <xf numFmtId="3" fontId="3" fillId="0" borderId="0" xfId="55" applyNumberFormat="1" applyFont="1" applyBorder="1" applyAlignment="1">
      <alignment horizontal="right"/>
      <protection/>
    </xf>
    <xf numFmtId="165" fontId="3" fillId="0" borderId="15" xfId="55" applyNumberFormat="1" applyFont="1" applyBorder="1" applyAlignment="1">
      <alignment horizontal="right"/>
      <protection/>
    </xf>
    <xf numFmtId="165" fontId="3" fillId="0" borderId="0" xfId="55" applyNumberFormat="1" applyFont="1" applyBorder="1" applyAlignment="1">
      <alignment horizontal="right"/>
      <protection/>
    </xf>
    <xf numFmtId="165" fontId="3" fillId="0" borderId="15" xfId="55" applyNumberFormat="1" applyFont="1" applyBorder="1">
      <alignment/>
      <protection/>
    </xf>
    <xf numFmtId="165" fontId="3" fillId="0" borderId="13" xfId="55" applyNumberFormat="1" applyFont="1" applyBorder="1">
      <alignment/>
      <protection/>
    </xf>
    <xf numFmtId="3" fontId="2" fillId="0" borderId="0" xfId="55" applyNumberFormat="1" applyFont="1" applyAlignment="1">
      <alignment horizontal="right"/>
      <protection/>
    </xf>
    <xf numFmtId="165" fontId="2" fillId="0" borderId="19" xfId="55" applyNumberFormat="1" applyFont="1" applyBorder="1">
      <alignment/>
      <protection/>
    </xf>
    <xf numFmtId="165" fontId="2" fillId="0" borderId="20" xfId="55" applyNumberFormat="1" applyFont="1" applyBorder="1">
      <alignment/>
      <protection/>
    </xf>
    <xf numFmtId="3" fontId="3" fillId="0" borderId="0" xfId="56" applyNumberFormat="1" applyFont="1">
      <alignment/>
      <protection/>
    </xf>
    <xf numFmtId="0" fontId="3" fillId="0" borderId="0" xfId="56">
      <alignment/>
      <protection/>
    </xf>
    <xf numFmtId="3" fontId="2" fillId="0" borderId="0" xfId="56" applyNumberFormat="1" applyFont="1" applyAlignment="1">
      <alignment horizontal="centerContinuous"/>
      <protection/>
    </xf>
    <xf numFmtId="3" fontId="3" fillId="0" borderId="0" xfId="56" applyNumberFormat="1" applyFont="1" applyAlignment="1">
      <alignment horizontal="centerContinuous"/>
      <protection/>
    </xf>
    <xf numFmtId="0" fontId="3" fillId="0" borderId="0" xfId="56" applyFont="1" applyAlignment="1">
      <alignment horizontal="centerContinuous"/>
      <protection/>
    </xf>
    <xf numFmtId="0" fontId="3" fillId="0" borderId="0" xfId="56" applyFont="1">
      <alignment/>
      <protection/>
    </xf>
    <xf numFmtId="165" fontId="3" fillId="0" borderId="0" xfId="56" applyNumberFormat="1" applyFont="1">
      <alignment/>
      <protection/>
    </xf>
    <xf numFmtId="165" fontId="3" fillId="0" borderId="0" xfId="56" applyNumberFormat="1" applyFont="1" applyAlignment="1">
      <alignment horizontal="centerContinuous"/>
      <protection/>
    </xf>
    <xf numFmtId="165" fontId="2" fillId="0" borderId="0" xfId="56" applyNumberFormat="1" applyFont="1" applyAlignment="1">
      <alignment horizontal="centerContinuous"/>
      <protection/>
    </xf>
    <xf numFmtId="3" fontId="3" fillId="0" borderId="10" xfId="56" applyNumberFormat="1" applyFont="1" applyBorder="1" applyAlignment="1">
      <alignment horizontal="center"/>
      <protection/>
    </xf>
    <xf numFmtId="165" fontId="3" fillId="0" borderId="16" xfId="56" applyNumberFormat="1" applyFont="1" applyBorder="1" applyAlignment="1">
      <alignment horizontal="centerContinuous"/>
      <protection/>
    </xf>
    <xf numFmtId="165" fontId="3" fillId="0" borderId="10" xfId="56" applyNumberFormat="1" applyFont="1" applyBorder="1" applyAlignment="1">
      <alignment horizontal="centerContinuous"/>
      <protection/>
    </xf>
    <xf numFmtId="165" fontId="3" fillId="0" borderId="17" xfId="56" applyNumberFormat="1" applyFont="1" applyBorder="1" applyAlignment="1">
      <alignment horizontal="centerContinuous"/>
      <protection/>
    </xf>
    <xf numFmtId="165" fontId="3" fillId="0" borderId="18" xfId="56" applyNumberFormat="1" applyFont="1" applyBorder="1" applyAlignment="1">
      <alignment horizontal="centerContinuous"/>
      <protection/>
    </xf>
    <xf numFmtId="3" fontId="3" fillId="0" borderId="0" xfId="56" applyNumberFormat="1" applyFont="1" applyBorder="1" applyAlignment="1">
      <alignment horizontal="right"/>
      <protection/>
    </xf>
    <xf numFmtId="165" fontId="3" fillId="0" borderId="15" xfId="56" applyNumberFormat="1" applyFont="1" applyBorder="1" applyAlignment="1">
      <alignment horizontal="right"/>
      <protection/>
    </xf>
    <xf numFmtId="165" fontId="3" fillId="0" borderId="0" xfId="56" applyNumberFormat="1" applyFont="1" applyBorder="1" applyAlignment="1">
      <alignment horizontal="right"/>
      <protection/>
    </xf>
    <xf numFmtId="165" fontId="3" fillId="0" borderId="15" xfId="56" applyNumberFormat="1" applyFont="1" applyBorder="1">
      <alignment/>
      <protection/>
    </xf>
    <xf numFmtId="165" fontId="3" fillId="0" borderId="13" xfId="56" applyNumberFormat="1" applyFont="1" applyBorder="1">
      <alignment/>
      <protection/>
    </xf>
    <xf numFmtId="3" fontId="2" fillId="0" borderId="0" xfId="56" applyNumberFormat="1" applyFont="1" applyAlignment="1">
      <alignment horizontal="right"/>
      <protection/>
    </xf>
    <xf numFmtId="165" fontId="2" fillId="0" borderId="19" xfId="56" applyNumberFormat="1" applyFont="1" applyBorder="1">
      <alignment/>
      <protection/>
    </xf>
    <xf numFmtId="165" fontId="2" fillId="0" borderId="20" xfId="56" applyNumberFormat="1" applyFont="1" applyBorder="1">
      <alignment/>
      <protection/>
    </xf>
    <xf numFmtId="165" fontId="2" fillId="0" borderId="15" xfId="0" applyNumberFormat="1" applyFont="1" applyBorder="1" applyAlignment="1">
      <alignment horizontal="right"/>
    </xf>
    <xf numFmtId="165" fontId="2" fillId="0" borderId="0" xfId="0" applyNumberFormat="1" applyFont="1" applyBorder="1" applyAlignment="1">
      <alignment horizontal="right"/>
    </xf>
    <xf numFmtId="3" fontId="2" fillId="0" borderId="0" xfId="55" applyNumberFormat="1" applyFont="1">
      <alignment/>
      <protection/>
    </xf>
    <xf numFmtId="3" fontId="3" fillId="0" borderId="14" xfId="0" applyNumberFormat="1" applyFont="1" applyBorder="1" applyAlignment="1">
      <alignment horizontal="center"/>
    </xf>
    <xf numFmtId="3" fontId="3" fillId="0" borderId="13" xfId="0" applyNumberFormat="1" applyFont="1" applyBorder="1" applyAlignment="1">
      <alignment horizontal="center"/>
    </xf>
    <xf numFmtId="3" fontId="3" fillId="0" borderId="17" xfId="0" applyNumberFormat="1" applyFont="1" applyBorder="1" applyAlignment="1">
      <alignment horizontal="center"/>
    </xf>
    <xf numFmtId="3" fontId="3" fillId="0" borderId="18" xfId="0" applyNumberFormat="1" applyFont="1" applyBorder="1" applyAlignment="1">
      <alignment horizontal="center"/>
    </xf>
    <xf numFmtId="3" fontId="3" fillId="0" borderId="13" xfId="55" applyNumberFormat="1" applyFont="1" applyBorder="1" applyAlignment="1">
      <alignment horizontal="left"/>
      <protection/>
    </xf>
    <xf numFmtId="3" fontId="3" fillId="0" borderId="13" xfId="56" applyNumberFormat="1" applyFont="1" applyBorder="1" applyAlignment="1">
      <alignment horizontal="left"/>
      <protection/>
    </xf>
    <xf numFmtId="165" fontId="3" fillId="0" borderId="15" xfId="55" applyNumberFormat="1" applyBorder="1">
      <alignment/>
      <protection/>
    </xf>
    <xf numFmtId="165" fontId="3" fillId="0" borderId="0" xfId="55" applyNumberFormat="1">
      <alignment/>
      <protection/>
    </xf>
    <xf numFmtId="165" fontId="3" fillId="0" borderId="14" xfId="55" applyNumberFormat="1" applyBorder="1">
      <alignment/>
      <protection/>
    </xf>
    <xf numFmtId="0" fontId="2" fillId="0" borderId="0" xfId="0" applyFont="1" applyAlignment="1">
      <alignment/>
    </xf>
    <xf numFmtId="0" fontId="3" fillId="0" borderId="0" xfId="0" applyFont="1" applyAlignment="1">
      <alignment/>
    </xf>
    <xf numFmtId="0" fontId="3" fillId="0" borderId="0" xfId="55" applyFill="1">
      <alignment/>
      <protection/>
    </xf>
    <xf numFmtId="0" fontId="3" fillId="0" borderId="0" xfId="55" applyFill="1" applyBorder="1">
      <alignment/>
      <protection/>
    </xf>
    <xf numFmtId="0" fontId="3" fillId="0" borderId="0" xfId="55" applyFill="1" applyAlignment="1">
      <alignment horizontal="center"/>
      <protection/>
    </xf>
    <xf numFmtId="0" fontId="8" fillId="0" borderId="0" xfId="0" applyFont="1" applyAlignment="1">
      <alignment/>
    </xf>
    <xf numFmtId="3" fontId="9" fillId="0" borderId="0" xfId="0" applyNumberFormat="1" applyFont="1" applyAlignment="1">
      <alignment/>
    </xf>
    <xf numFmtId="0" fontId="7" fillId="0" borderId="0" xfId="55" applyFont="1" applyFill="1">
      <alignment/>
      <protection/>
    </xf>
    <xf numFmtId="1" fontId="3" fillId="0" borderId="21" xfId="55" applyNumberFormat="1" applyFont="1" applyFill="1" applyBorder="1" applyAlignment="1">
      <alignment horizontal="center"/>
      <protection/>
    </xf>
    <xf numFmtId="1" fontId="3" fillId="0" borderId="16" xfId="55" applyNumberFormat="1" applyFont="1" applyFill="1" applyBorder="1" applyAlignment="1">
      <alignment horizontal="centerContinuous"/>
      <protection/>
    </xf>
    <xf numFmtId="1" fontId="3" fillId="0" borderId="10" xfId="55" applyNumberFormat="1" applyFont="1" applyFill="1" applyBorder="1" applyAlignment="1">
      <alignment horizontal="centerContinuous"/>
      <protection/>
    </xf>
    <xf numFmtId="1" fontId="3" fillId="0" borderId="0" xfId="55" applyNumberFormat="1" applyFill="1">
      <alignment/>
      <protection/>
    </xf>
    <xf numFmtId="3" fontId="3" fillId="0" borderId="22" xfId="55" applyNumberFormat="1" applyFont="1" applyFill="1" applyBorder="1" applyAlignment="1">
      <alignment horizontal="center"/>
      <protection/>
    </xf>
    <xf numFmtId="165" fontId="3" fillId="0" borderId="17" xfId="55" applyNumberFormat="1" applyFont="1" applyFill="1" applyBorder="1" applyAlignment="1">
      <alignment horizontal="centerContinuous"/>
      <protection/>
    </xf>
    <xf numFmtId="165" fontId="3" fillId="0" borderId="18" xfId="55" applyNumberFormat="1" applyFont="1" applyFill="1" applyBorder="1" applyAlignment="1">
      <alignment horizontal="centerContinuous"/>
      <protection/>
    </xf>
    <xf numFmtId="3" fontId="3" fillId="0" borderId="23" xfId="55" applyNumberFormat="1" applyFont="1" applyFill="1" applyBorder="1" applyAlignment="1">
      <alignment horizontal="right"/>
      <protection/>
    </xf>
    <xf numFmtId="165" fontId="3" fillId="0" borderId="15" xfId="55" applyNumberFormat="1" applyFont="1" applyFill="1" applyBorder="1" applyAlignment="1">
      <alignment horizontal="right"/>
      <protection/>
    </xf>
    <xf numFmtId="165" fontId="3" fillId="0" borderId="0" xfId="55" applyNumberFormat="1" applyFont="1" applyFill="1" applyBorder="1" applyAlignment="1">
      <alignment horizontal="right"/>
      <protection/>
    </xf>
    <xf numFmtId="165" fontId="3" fillId="0" borderId="15" xfId="55" applyNumberFormat="1" applyFont="1" applyFill="1" applyBorder="1">
      <alignment/>
      <protection/>
    </xf>
    <xf numFmtId="165" fontId="3" fillId="0" borderId="0" xfId="55" applyNumberFormat="1" applyFont="1" applyFill="1">
      <alignment/>
      <protection/>
    </xf>
    <xf numFmtId="3" fontId="3" fillId="0" borderId="23" xfId="55" applyNumberFormat="1" applyFont="1" applyFill="1" applyBorder="1">
      <alignment/>
      <protection/>
    </xf>
    <xf numFmtId="166" fontId="3" fillId="0" borderId="15" xfId="55" applyNumberFormat="1" applyFont="1" applyFill="1" applyBorder="1">
      <alignment/>
      <protection/>
    </xf>
    <xf numFmtId="166" fontId="3" fillId="0" borderId="0" xfId="55" applyNumberFormat="1" applyFont="1" applyFill="1">
      <alignment/>
      <protection/>
    </xf>
    <xf numFmtId="166" fontId="3" fillId="0" borderId="0" xfId="55" applyNumberFormat="1" applyFont="1" applyFill="1" applyBorder="1">
      <alignment/>
      <protection/>
    </xf>
    <xf numFmtId="166" fontId="3" fillId="0" borderId="23" xfId="55" applyNumberFormat="1" applyFont="1" applyFill="1" applyBorder="1">
      <alignment/>
      <protection/>
    </xf>
    <xf numFmtId="166" fontId="3" fillId="0" borderId="0" xfId="55" applyNumberFormat="1" applyFill="1">
      <alignment/>
      <protection/>
    </xf>
    <xf numFmtId="166" fontId="3" fillId="0" borderId="23" xfId="55" applyNumberFormat="1" applyFill="1" applyBorder="1">
      <alignment/>
      <protection/>
    </xf>
    <xf numFmtId="3" fontId="2" fillId="0" borderId="0" xfId="55" applyNumberFormat="1" applyFont="1" applyFill="1">
      <alignment/>
      <protection/>
    </xf>
    <xf numFmtId="3" fontId="3" fillId="0" borderId="0" xfId="55" applyNumberFormat="1" applyFont="1" applyFill="1">
      <alignment/>
      <protection/>
    </xf>
    <xf numFmtId="0" fontId="3" fillId="0" borderId="0" xfId="55" applyFont="1" applyFill="1">
      <alignment/>
      <protection/>
    </xf>
    <xf numFmtId="3" fontId="2" fillId="0" borderId="0" xfId="55" applyNumberFormat="1" applyFont="1" applyFill="1" applyAlignment="1">
      <alignment horizontal="centerContinuous"/>
      <protection/>
    </xf>
    <xf numFmtId="1" fontId="2" fillId="0" borderId="0" xfId="46" applyNumberFormat="1" applyFont="1" applyFill="1" applyAlignment="1">
      <alignment horizontal="centerContinuous"/>
    </xf>
    <xf numFmtId="3" fontId="3" fillId="0" borderId="0" xfId="55" applyNumberFormat="1" applyFont="1" applyFill="1" applyAlignment="1">
      <alignment horizontal="centerContinuous"/>
      <protection/>
    </xf>
    <xf numFmtId="0" fontId="3" fillId="0" borderId="0" xfId="55" applyFont="1" applyFill="1" applyAlignment="1">
      <alignment horizontal="centerContinuous"/>
      <protection/>
    </xf>
    <xf numFmtId="3" fontId="3" fillId="0" borderId="10" xfId="55" applyNumberFormat="1" applyFont="1" applyFill="1" applyBorder="1" applyAlignment="1">
      <alignment horizontal="center"/>
      <protection/>
    </xf>
    <xf numFmtId="1" fontId="3" fillId="0" borderId="11" xfId="46" applyNumberFormat="1" applyFont="1" applyFill="1" applyBorder="1" applyAlignment="1">
      <alignment horizontal="centerContinuous"/>
    </xf>
    <xf numFmtId="1" fontId="3" fillId="0" borderId="12" xfId="46" applyNumberFormat="1" applyFont="1" applyFill="1" applyBorder="1" applyAlignment="1">
      <alignment horizontal="centerContinuous"/>
    </xf>
    <xf numFmtId="1" fontId="3" fillId="0" borderId="24" xfId="46" applyNumberFormat="1" applyFont="1" applyFill="1" applyBorder="1" applyAlignment="1">
      <alignment horizontal="centerContinuous"/>
    </xf>
    <xf numFmtId="165" fontId="3" fillId="0" borderId="10" xfId="55" applyNumberFormat="1" applyFont="1" applyFill="1" applyBorder="1" applyAlignment="1">
      <alignment horizontal="centerContinuous"/>
      <protection/>
    </xf>
    <xf numFmtId="3" fontId="3" fillId="0" borderId="13" xfId="55" applyNumberFormat="1" applyFont="1" applyFill="1" applyBorder="1" applyAlignment="1">
      <alignment horizontal="center"/>
      <protection/>
    </xf>
    <xf numFmtId="165" fontId="3" fillId="0" borderId="25" xfId="55" applyNumberFormat="1" applyFont="1" applyFill="1" applyBorder="1" applyAlignment="1">
      <alignment horizontal="centerContinuous"/>
      <protection/>
    </xf>
    <xf numFmtId="3" fontId="3" fillId="0" borderId="0" xfId="55" applyNumberFormat="1" applyFont="1" applyFill="1" applyBorder="1" applyAlignment="1">
      <alignment horizontal="right"/>
      <protection/>
    </xf>
    <xf numFmtId="165" fontId="3" fillId="0" borderId="23" xfId="55" applyNumberFormat="1" applyFont="1" applyFill="1" applyBorder="1" applyAlignment="1">
      <alignment horizontal="right"/>
      <protection/>
    </xf>
    <xf numFmtId="1" fontId="3" fillId="0" borderId="0" xfId="46" applyNumberFormat="1" applyFont="1" applyFill="1" applyAlignment="1">
      <alignment/>
    </xf>
    <xf numFmtId="166" fontId="0" fillId="0" borderId="15" xfId="0" applyNumberFormat="1" applyBorder="1" applyAlignment="1">
      <alignment/>
    </xf>
    <xf numFmtId="166" fontId="0" fillId="0" borderId="0" xfId="0" applyNumberFormat="1" applyAlignment="1">
      <alignment/>
    </xf>
    <xf numFmtId="166" fontId="3" fillId="0" borderId="15" xfId="55" applyNumberFormat="1" applyFont="1" applyFill="1" applyBorder="1" applyAlignment="1">
      <alignment horizontal="right"/>
      <protection/>
    </xf>
    <xf numFmtId="166" fontId="3" fillId="0" borderId="14" xfId="55" applyNumberFormat="1" applyFont="1" applyFill="1" applyBorder="1">
      <alignment/>
      <protection/>
    </xf>
    <xf numFmtId="3" fontId="2" fillId="0" borderId="0" xfId="55" applyNumberFormat="1" applyFont="1" applyFill="1" applyAlignment="1">
      <alignment horizontal="right"/>
      <protection/>
    </xf>
    <xf numFmtId="166" fontId="2" fillId="0" borderId="19" xfId="55" applyNumberFormat="1" applyFont="1" applyFill="1" applyBorder="1">
      <alignment/>
      <protection/>
    </xf>
    <xf numFmtId="166" fontId="2" fillId="0" borderId="20" xfId="55" applyNumberFormat="1" applyFont="1" applyFill="1" applyBorder="1">
      <alignment/>
      <protection/>
    </xf>
    <xf numFmtId="166" fontId="2" fillId="0" borderId="26" xfId="55" applyNumberFormat="1" applyFont="1" applyFill="1" applyBorder="1">
      <alignment/>
      <protection/>
    </xf>
    <xf numFmtId="0" fontId="2" fillId="0" borderId="0" xfId="55" applyFont="1" applyFill="1">
      <alignment/>
      <protection/>
    </xf>
    <xf numFmtId="166" fontId="2" fillId="0" borderId="0" xfId="55" applyNumberFormat="1" applyFont="1" applyFill="1" applyBorder="1">
      <alignment/>
      <protection/>
    </xf>
    <xf numFmtId="0" fontId="3" fillId="0" borderId="0" xfId="57" applyFont="1" applyFill="1">
      <alignment/>
      <protection/>
    </xf>
    <xf numFmtId="3" fontId="2" fillId="0" borderId="23" xfId="55" applyNumberFormat="1" applyFont="1" applyFill="1" applyBorder="1">
      <alignment/>
      <protection/>
    </xf>
    <xf numFmtId="3" fontId="2" fillId="0" borderId="23" xfId="55" applyNumberFormat="1" applyFont="1" applyFill="1" applyBorder="1" applyAlignment="1">
      <alignment horizontal="right"/>
      <protection/>
    </xf>
    <xf numFmtId="3" fontId="2" fillId="0" borderId="0" xfId="55" applyNumberFormat="1" applyFont="1" applyFill="1" applyBorder="1" applyAlignment="1">
      <alignment horizontal="right"/>
      <protection/>
    </xf>
    <xf numFmtId="166" fontId="2" fillId="0" borderId="15" xfId="55" applyNumberFormat="1" applyFont="1" applyFill="1" applyBorder="1">
      <alignment/>
      <protection/>
    </xf>
    <xf numFmtId="166" fontId="2" fillId="0" borderId="0" xfId="55" applyNumberFormat="1" applyFont="1" applyFill="1">
      <alignment/>
      <protection/>
    </xf>
    <xf numFmtId="166" fontId="2" fillId="0" borderId="23" xfId="55" applyNumberFormat="1" applyFont="1" applyFill="1" applyBorder="1">
      <alignment/>
      <protection/>
    </xf>
    <xf numFmtId="0" fontId="6" fillId="0" borderId="0" xfId="55" applyFont="1" applyFill="1">
      <alignment/>
      <protection/>
    </xf>
    <xf numFmtId="0" fontId="3" fillId="0" borderId="10" xfId="55" applyFill="1" applyBorder="1">
      <alignment/>
      <protection/>
    </xf>
    <xf numFmtId="0" fontId="3" fillId="0" borderId="16" xfId="55" applyFont="1" applyFill="1" applyBorder="1" applyAlignment="1">
      <alignment horizontal="centerContinuous"/>
      <protection/>
    </xf>
    <xf numFmtId="0" fontId="3" fillId="0" borderId="10" xfId="55" applyFont="1" applyFill="1" applyBorder="1" applyAlignment="1">
      <alignment horizontal="centerContinuous"/>
      <protection/>
    </xf>
    <xf numFmtId="0" fontId="3" fillId="0" borderId="21" xfId="55" applyFont="1" applyFill="1" applyBorder="1" applyAlignment="1">
      <alignment horizontal="centerContinuous"/>
      <protection/>
    </xf>
    <xf numFmtId="0" fontId="3" fillId="0" borderId="15" xfId="55" applyFont="1" applyFill="1" applyBorder="1" applyAlignment="1">
      <alignment horizontal="centerContinuous"/>
      <protection/>
    </xf>
    <xf numFmtId="0" fontId="3" fillId="0" borderId="0" xfId="55" applyFont="1" applyFill="1" applyBorder="1" applyAlignment="1">
      <alignment horizontal="centerContinuous"/>
      <protection/>
    </xf>
    <xf numFmtId="0" fontId="3" fillId="0" borderId="23" xfId="55" applyFont="1" applyFill="1" applyBorder="1" applyAlignment="1">
      <alignment horizontal="centerContinuous"/>
      <protection/>
    </xf>
    <xf numFmtId="0" fontId="3" fillId="0" borderId="0" xfId="55" applyFont="1" applyFill="1" applyBorder="1" applyAlignment="1">
      <alignment/>
      <protection/>
    </xf>
    <xf numFmtId="0" fontId="3" fillId="0" borderId="14" xfId="55" applyFont="1" applyFill="1" applyBorder="1" applyAlignment="1">
      <alignment horizontal="centerContinuous"/>
      <protection/>
    </xf>
    <xf numFmtId="0" fontId="3" fillId="0" borderId="13" xfId="55" applyFont="1" applyFill="1" applyBorder="1" applyAlignment="1">
      <alignment horizontal="centerContinuous"/>
      <protection/>
    </xf>
    <xf numFmtId="0" fontId="3" fillId="0" borderId="22" xfId="55" applyFont="1" applyFill="1" applyBorder="1" applyAlignment="1">
      <alignment horizontal="centerContinuous"/>
      <protection/>
    </xf>
    <xf numFmtId="0" fontId="3" fillId="0" borderId="22" xfId="55" applyFill="1" applyBorder="1" applyAlignment="1">
      <alignment horizontal="center"/>
      <protection/>
    </xf>
    <xf numFmtId="0" fontId="3" fillId="0" borderId="17" xfId="55" applyFont="1" applyFill="1" applyBorder="1" applyAlignment="1">
      <alignment horizontal="center"/>
      <protection/>
    </xf>
    <xf numFmtId="0" fontId="3" fillId="0" borderId="18" xfId="55" applyFont="1" applyFill="1" applyBorder="1" applyAlignment="1">
      <alignment horizontal="center"/>
      <protection/>
    </xf>
    <xf numFmtId="0" fontId="3" fillId="0" borderId="25" xfId="55" applyFont="1" applyFill="1" applyBorder="1" applyAlignment="1">
      <alignment horizontal="center"/>
      <protection/>
    </xf>
    <xf numFmtId="0" fontId="3" fillId="0" borderId="19" xfId="55" applyFont="1" applyFill="1" applyBorder="1" applyAlignment="1">
      <alignment horizontal="center"/>
      <protection/>
    </xf>
    <xf numFmtId="0" fontId="3" fillId="0" borderId="20" xfId="55" applyFont="1" applyFill="1" applyBorder="1" applyAlignment="1">
      <alignment horizontal="center"/>
      <protection/>
    </xf>
    <xf numFmtId="0" fontId="3" fillId="0" borderId="26" xfId="55" applyFont="1" applyFill="1" applyBorder="1" applyAlignment="1">
      <alignment horizontal="center"/>
      <protection/>
    </xf>
    <xf numFmtId="3" fontId="3" fillId="0" borderId="0" xfId="55" applyNumberFormat="1" applyFont="1" applyFill="1" applyBorder="1">
      <alignment/>
      <protection/>
    </xf>
    <xf numFmtId="165" fontId="3" fillId="0" borderId="15" xfId="55" applyNumberFormat="1" applyFill="1" applyBorder="1">
      <alignment/>
      <protection/>
    </xf>
    <xf numFmtId="165" fontId="3" fillId="0" borderId="0" xfId="55" applyNumberFormat="1" applyFill="1" applyBorder="1">
      <alignment/>
      <protection/>
    </xf>
    <xf numFmtId="165" fontId="3" fillId="0" borderId="23" xfId="55" applyNumberFormat="1" applyFill="1" applyBorder="1">
      <alignment/>
      <protection/>
    </xf>
    <xf numFmtId="165" fontId="3" fillId="0" borderId="0" xfId="55" applyNumberFormat="1" applyFill="1">
      <alignment/>
      <protection/>
    </xf>
    <xf numFmtId="165" fontId="2" fillId="0" borderId="19" xfId="55" applyNumberFormat="1" applyFont="1" applyFill="1" applyBorder="1">
      <alignment/>
      <protection/>
    </xf>
    <xf numFmtId="165" fontId="2" fillId="0" borderId="20" xfId="55" applyNumberFormat="1" applyFont="1" applyFill="1" applyBorder="1">
      <alignment/>
      <protection/>
    </xf>
    <xf numFmtId="165" fontId="2" fillId="0" borderId="26" xfId="55" applyNumberFormat="1" applyFont="1" applyFill="1" applyBorder="1">
      <alignment/>
      <protection/>
    </xf>
    <xf numFmtId="1" fontId="3" fillId="0" borderId="11" xfId="55" applyNumberFormat="1" applyFont="1" applyFill="1" applyBorder="1" applyAlignment="1">
      <alignment horizontal="center"/>
      <protection/>
    </xf>
    <xf numFmtId="1" fontId="3" fillId="0" borderId="12" xfId="55" applyNumberFormat="1" applyFont="1" applyFill="1" applyBorder="1" applyAlignment="1">
      <alignment horizontal="center"/>
      <protection/>
    </xf>
    <xf numFmtId="1" fontId="3" fillId="0" borderId="24" xfId="55" applyNumberFormat="1" applyFont="1" applyFill="1" applyBorder="1" applyAlignment="1">
      <alignment horizontal="center"/>
      <protection/>
    </xf>
    <xf numFmtId="3" fontId="2" fillId="0" borderId="0" xfId="55" applyNumberFormat="1" applyFont="1" applyFill="1" applyAlignment="1">
      <alignment horizontal="center"/>
      <protection/>
    </xf>
    <xf numFmtId="1" fontId="2" fillId="0" borderId="0" xfId="46" applyNumberFormat="1" applyFont="1" applyFill="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mma_pers_un" xfId="46"/>
    <cellStyle name="Kop 1" xfId="47"/>
    <cellStyle name="Kop 2" xfId="48"/>
    <cellStyle name="Kop 3" xfId="49"/>
    <cellStyle name="Kop 4" xfId="50"/>
    <cellStyle name="Neutraal" xfId="51"/>
    <cellStyle name="Notitie" xfId="52"/>
    <cellStyle name="Ongeldig" xfId="53"/>
    <cellStyle name="Percent" xfId="54"/>
    <cellStyle name="Standaard_96PHOG03" xfId="55"/>
    <cellStyle name="Standaard_96PHOG04" xfId="56"/>
    <cellStyle name="Standaard_l_hoger0203" xfId="57"/>
    <cellStyle name="Titel" xfId="58"/>
    <cellStyle name="Totaal" xfId="59"/>
    <cellStyle name="Uitvoer" xfId="60"/>
    <cellStyle name="Currency" xfId="61"/>
    <cellStyle name="Currency [0]" xfId="62"/>
    <cellStyle name="Verklarende tekst" xfId="63"/>
    <cellStyle name="Waarschuwingsteks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14"/>
  <sheetViews>
    <sheetView tabSelected="1" zoomScalePageLayoutView="0" workbookViewId="0" topLeftCell="A1">
      <selection activeCell="P25" sqref="P25"/>
    </sheetView>
  </sheetViews>
  <sheetFormatPr defaultColWidth="9.140625" defaultRowHeight="12.75"/>
  <cols>
    <col min="1" max="1" width="9.140625" style="83" customWidth="1"/>
    <col min="2" max="2" width="3.8515625" style="83" customWidth="1"/>
    <col min="3" max="16384" width="9.140625" style="83" customWidth="1"/>
  </cols>
  <sheetData>
    <row r="1" ht="15">
      <c r="A1" s="87" t="s">
        <v>24</v>
      </c>
    </row>
    <row r="3" ht="12.75">
      <c r="A3" s="82" t="s">
        <v>29</v>
      </c>
    </row>
    <row r="4" spans="1:3" ht="12.75">
      <c r="A4" s="83" t="s">
        <v>26</v>
      </c>
      <c r="C4" s="83" t="s">
        <v>25</v>
      </c>
    </row>
    <row r="6" ht="12.75">
      <c r="A6" s="82" t="s">
        <v>30</v>
      </c>
    </row>
    <row r="7" spans="1:3" ht="12.75">
      <c r="A7" s="83" t="s">
        <v>27</v>
      </c>
      <c r="C7" s="83" t="s">
        <v>65</v>
      </c>
    </row>
    <row r="8" spans="1:3" ht="12.75">
      <c r="A8" s="83" t="s">
        <v>28</v>
      </c>
      <c r="C8" s="83" t="s">
        <v>66</v>
      </c>
    </row>
    <row r="12" ht="12.75">
      <c r="A12" s="82" t="s">
        <v>31</v>
      </c>
    </row>
    <row r="13" spans="1:3" ht="12.75">
      <c r="A13" s="83" t="s">
        <v>32</v>
      </c>
      <c r="C13" s="83" t="s">
        <v>64</v>
      </c>
    </row>
    <row r="14" spans="1:3" ht="12.75">
      <c r="A14" s="83" t="s">
        <v>33</v>
      </c>
      <c r="C14" s="83" t="s">
        <v>67</v>
      </c>
    </row>
  </sheetData>
  <sheetProtection/>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J35"/>
  <sheetViews>
    <sheetView zoomScalePageLayoutView="0" workbookViewId="0" topLeftCell="A1">
      <selection activeCell="A7" sqref="A7"/>
    </sheetView>
  </sheetViews>
  <sheetFormatPr defaultColWidth="9.140625" defaultRowHeight="12.75"/>
  <cols>
    <col min="1" max="1" width="21.8515625" style="2" customWidth="1"/>
    <col min="2" max="10" width="7.8515625" style="2" customWidth="1"/>
    <col min="11" max="16384" width="9.140625" style="2" customWidth="1"/>
  </cols>
  <sheetData>
    <row r="1" ht="12.75">
      <c r="A1" s="72" t="s">
        <v>69</v>
      </c>
    </row>
    <row r="2" spans="1:10" ht="12.75">
      <c r="A2" s="3" t="s">
        <v>0</v>
      </c>
      <c r="B2" s="4"/>
      <c r="C2" s="5"/>
      <c r="D2" s="4"/>
      <c r="E2" s="5"/>
      <c r="F2" s="5"/>
      <c r="G2" s="4"/>
      <c r="H2" s="5"/>
      <c r="I2" s="4"/>
      <c r="J2" s="4"/>
    </row>
    <row r="3" spans="1:10" ht="12.75">
      <c r="A3" s="3"/>
      <c r="B3" s="4"/>
      <c r="C3" s="3"/>
      <c r="D3" s="4"/>
      <c r="E3" s="5"/>
      <c r="F3" s="5"/>
      <c r="G3" s="4"/>
      <c r="H3" s="5"/>
      <c r="I3" s="4"/>
      <c r="J3" s="4"/>
    </row>
    <row r="4" spans="1:10" ht="12.75">
      <c r="A4" s="3" t="s">
        <v>72</v>
      </c>
      <c r="B4" s="4"/>
      <c r="C4" s="3"/>
      <c r="D4" s="4"/>
      <c r="E4" s="5"/>
      <c r="F4" s="5"/>
      <c r="G4" s="4"/>
      <c r="H4" s="5"/>
      <c r="I4" s="4"/>
      <c r="J4" s="4"/>
    </row>
    <row r="5" spans="1:10" ht="12.75">
      <c r="A5" s="3"/>
      <c r="B5" s="4"/>
      <c r="C5" s="3"/>
      <c r="D5" s="4"/>
      <c r="E5" s="5"/>
      <c r="F5" s="5"/>
      <c r="G5" s="4"/>
      <c r="H5" s="5"/>
      <c r="I5" s="4"/>
      <c r="J5" s="4"/>
    </row>
    <row r="6" spans="1:10" ht="12.75">
      <c r="A6" s="3" t="s">
        <v>1</v>
      </c>
      <c r="B6" s="4"/>
      <c r="C6" s="3"/>
      <c r="D6" s="4"/>
      <c r="E6" s="4"/>
      <c r="F6" s="4"/>
      <c r="G6" s="4"/>
      <c r="H6" s="4"/>
      <c r="I6" s="4"/>
      <c r="J6" s="4"/>
    </row>
    <row r="7" ht="14.25" customHeight="1" thickBot="1"/>
    <row r="8" spans="1:10" ht="12.75">
      <c r="A8" s="6"/>
      <c r="B8" s="7"/>
      <c r="C8" s="8" t="s">
        <v>2</v>
      </c>
      <c r="D8" s="9"/>
      <c r="E8" s="7"/>
      <c r="F8" s="8" t="s">
        <v>3</v>
      </c>
      <c r="G8" s="9"/>
      <c r="H8" s="7"/>
      <c r="I8" s="8" t="s">
        <v>4</v>
      </c>
      <c r="J8" s="9"/>
    </row>
    <row r="9" spans="1:10" ht="12.75">
      <c r="A9" s="11"/>
      <c r="B9" s="73" t="s">
        <v>5</v>
      </c>
      <c r="C9" s="74" t="s">
        <v>6</v>
      </c>
      <c r="D9" s="74" t="s">
        <v>4</v>
      </c>
      <c r="E9" s="73" t="s">
        <v>5</v>
      </c>
      <c r="F9" s="74" t="s">
        <v>6</v>
      </c>
      <c r="G9" s="74" t="s">
        <v>4</v>
      </c>
      <c r="H9" s="73" t="s">
        <v>5</v>
      </c>
      <c r="I9" s="74" t="s">
        <v>6</v>
      </c>
      <c r="J9" s="74" t="s">
        <v>4</v>
      </c>
    </row>
    <row r="10" spans="1:10" ht="12.75">
      <c r="A10" s="14"/>
      <c r="B10" s="15"/>
      <c r="C10" s="16"/>
      <c r="D10" s="16"/>
      <c r="E10" s="15"/>
      <c r="F10" s="16"/>
      <c r="G10" s="16"/>
      <c r="H10" s="15"/>
      <c r="I10" s="16"/>
      <c r="J10" s="16"/>
    </row>
    <row r="11" spans="1:10" s="1" customFormat="1" ht="12.75">
      <c r="A11" s="20" t="s">
        <v>4</v>
      </c>
      <c r="B11" s="70">
        <f>1421+115+20+723+121</f>
        <v>2400</v>
      </c>
      <c r="C11" s="71">
        <f>1396+159+5+591+130</f>
        <v>2281</v>
      </c>
      <c r="D11" s="71">
        <f>SUM(B11:C11)</f>
        <v>4681</v>
      </c>
      <c r="E11" s="70">
        <f>751+88+11+500+1</f>
        <v>1351</v>
      </c>
      <c r="F11" s="71">
        <f>1062+93+7+494+2</f>
        <v>1658</v>
      </c>
      <c r="G11" s="71">
        <f>SUM(E11:F11)</f>
        <v>3009</v>
      </c>
      <c r="H11" s="70">
        <f>SUM(B11,E11)</f>
        <v>3751</v>
      </c>
      <c r="I11" s="71">
        <f>SUM(C11,F11)</f>
        <v>3939</v>
      </c>
      <c r="J11" s="71">
        <f>SUM(H11:I11)</f>
        <v>7690</v>
      </c>
    </row>
    <row r="12" spans="1:10" s="1" customFormat="1" ht="12.75">
      <c r="A12" s="17"/>
      <c r="B12" s="19"/>
      <c r="C12" s="19"/>
      <c r="D12" s="19"/>
      <c r="E12" s="19"/>
      <c r="F12" s="19"/>
      <c r="G12" s="19"/>
      <c r="H12" s="19"/>
      <c r="I12" s="19"/>
      <c r="J12" s="19"/>
    </row>
    <row r="13" spans="1:10" s="1" customFormat="1" ht="12.75">
      <c r="A13" s="17"/>
      <c r="B13" s="19"/>
      <c r="C13" s="19"/>
      <c r="D13" s="19"/>
      <c r="E13" s="19"/>
      <c r="F13" s="19"/>
      <c r="G13" s="19"/>
      <c r="H13" s="19"/>
      <c r="I13" s="19"/>
      <c r="J13" s="19"/>
    </row>
    <row r="14" spans="1:10" s="1" customFormat="1" ht="12.75">
      <c r="A14" s="17"/>
      <c r="B14" s="19"/>
      <c r="C14" s="19"/>
      <c r="D14" s="19"/>
      <c r="E14" s="19"/>
      <c r="F14" s="19"/>
      <c r="G14" s="19"/>
      <c r="H14" s="19"/>
      <c r="I14" s="19"/>
      <c r="J14" s="19"/>
    </row>
    <row r="15" spans="1:10" s="1" customFormat="1" ht="12.75">
      <c r="A15" s="17"/>
      <c r="B15" s="19"/>
      <c r="C15" s="19"/>
      <c r="D15" s="19"/>
      <c r="E15" s="19"/>
      <c r="F15" s="19"/>
      <c r="G15" s="19"/>
      <c r="H15" s="19"/>
      <c r="I15" s="19"/>
      <c r="J15" s="19"/>
    </row>
    <row r="16" spans="1:10" s="1" customFormat="1" ht="12.75">
      <c r="A16" s="17"/>
      <c r="B16" s="19"/>
      <c r="C16" s="19"/>
      <c r="D16" s="19"/>
      <c r="E16" s="19"/>
      <c r="F16" s="19"/>
      <c r="G16" s="19"/>
      <c r="H16" s="19"/>
      <c r="I16" s="19"/>
      <c r="J16" s="19"/>
    </row>
    <row r="17" spans="1:10" s="1" customFormat="1" ht="12.75">
      <c r="A17" s="17"/>
      <c r="B17" s="19"/>
      <c r="C17" s="19"/>
      <c r="D17" s="19"/>
      <c r="E17" s="19"/>
      <c r="F17" s="19"/>
      <c r="G17" s="19"/>
      <c r="H17" s="19"/>
      <c r="I17" s="19"/>
      <c r="J17" s="19"/>
    </row>
    <row r="18" spans="1:10" s="1" customFormat="1" ht="12.75">
      <c r="A18" s="17"/>
      <c r="B18" s="19"/>
      <c r="C18" s="19"/>
      <c r="D18" s="19"/>
      <c r="E18" s="19"/>
      <c r="F18" s="19"/>
      <c r="G18" s="19"/>
      <c r="H18" s="19"/>
      <c r="I18" s="19"/>
      <c r="J18" s="19"/>
    </row>
    <row r="19" spans="1:10" s="1" customFormat="1" ht="12.75">
      <c r="A19" s="17"/>
      <c r="B19" s="19"/>
      <c r="C19" s="19"/>
      <c r="D19" s="19"/>
      <c r="E19" s="19"/>
      <c r="F19" s="19"/>
      <c r="G19" s="19"/>
      <c r="H19" s="19"/>
      <c r="I19" s="19"/>
      <c r="J19" s="19"/>
    </row>
    <row r="20" spans="1:10" s="1" customFormat="1" ht="12.75">
      <c r="A20" s="17"/>
      <c r="B20" s="19"/>
      <c r="C20" s="19"/>
      <c r="D20" s="19"/>
      <c r="E20" s="19"/>
      <c r="F20" s="19"/>
      <c r="G20" s="19"/>
      <c r="H20" s="19"/>
      <c r="I20" s="19"/>
      <c r="J20" s="19"/>
    </row>
    <row r="21" spans="1:10" s="1" customFormat="1" ht="12.75">
      <c r="A21" s="17"/>
      <c r="B21" s="19"/>
      <c r="C21" s="19"/>
      <c r="D21" s="19"/>
      <c r="E21" s="19"/>
      <c r="F21" s="19"/>
      <c r="G21" s="19"/>
      <c r="H21" s="19"/>
      <c r="I21" s="19"/>
      <c r="J21" s="19"/>
    </row>
    <row r="22" spans="1:10" s="1" customFormat="1" ht="12.75">
      <c r="A22" s="17"/>
      <c r="B22" s="19"/>
      <c r="C22" s="19"/>
      <c r="D22" s="19"/>
      <c r="E22" s="19"/>
      <c r="F22" s="19"/>
      <c r="G22" s="19"/>
      <c r="H22" s="19"/>
      <c r="I22" s="19"/>
      <c r="J22" s="19"/>
    </row>
    <row r="23" spans="1:10" s="1" customFormat="1" ht="12.75">
      <c r="A23" s="17"/>
      <c r="B23" s="19"/>
      <c r="C23" s="19"/>
      <c r="D23" s="19"/>
      <c r="E23" s="19"/>
      <c r="F23" s="19"/>
      <c r="G23" s="19"/>
      <c r="H23" s="19"/>
      <c r="I23" s="19"/>
      <c r="J23" s="19"/>
    </row>
    <row r="24" spans="1:10" s="1" customFormat="1" ht="12.75">
      <c r="A24" s="3" t="s">
        <v>7</v>
      </c>
      <c r="B24" s="4"/>
      <c r="C24" s="5"/>
      <c r="D24" s="4"/>
      <c r="E24" s="5"/>
      <c r="F24" s="5"/>
      <c r="G24" s="4"/>
      <c r="H24" s="5"/>
      <c r="I24" s="4"/>
      <c r="J24" s="4"/>
    </row>
    <row r="25" spans="1:10" ht="12.75">
      <c r="A25" s="3"/>
      <c r="B25" s="4"/>
      <c r="C25" s="3"/>
      <c r="D25" s="4"/>
      <c r="E25" s="5"/>
      <c r="F25" s="5"/>
      <c r="G25" s="4"/>
      <c r="H25" s="5"/>
      <c r="I25" s="4"/>
      <c r="J25" s="4"/>
    </row>
    <row r="26" spans="1:10" ht="12.75">
      <c r="A26" s="3" t="s">
        <v>72</v>
      </c>
      <c r="B26" s="4"/>
      <c r="C26" s="3"/>
      <c r="D26" s="4"/>
      <c r="E26" s="5"/>
      <c r="F26" s="5"/>
      <c r="G26" s="4"/>
      <c r="H26" s="5"/>
      <c r="I26" s="4"/>
      <c r="J26" s="4"/>
    </row>
    <row r="27" spans="1:10" ht="12.75">
      <c r="A27" s="3"/>
      <c r="B27" s="4"/>
      <c r="C27" s="3"/>
      <c r="D27" s="4"/>
      <c r="E27" s="5"/>
      <c r="F27" s="5"/>
      <c r="G27" s="4"/>
      <c r="H27" s="5"/>
      <c r="I27" s="4"/>
      <c r="J27" s="4"/>
    </row>
    <row r="28" spans="1:10" ht="12.75">
      <c r="A28" s="3" t="s">
        <v>1</v>
      </c>
      <c r="B28" s="4"/>
      <c r="C28" s="3"/>
      <c r="D28" s="4"/>
      <c r="E28" s="5"/>
      <c r="F28" s="5"/>
      <c r="G28" s="4"/>
      <c r="H28" s="5"/>
      <c r="I28" s="4"/>
      <c r="J28" s="4"/>
    </row>
    <row r="29" spans="1:10" ht="13.5" thickBot="1">
      <c r="A29" s="3"/>
      <c r="B29" s="4"/>
      <c r="C29" s="3"/>
      <c r="D29" s="4"/>
      <c r="E29" s="5"/>
      <c r="F29" s="5"/>
      <c r="G29" s="4"/>
      <c r="H29" s="5"/>
      <c r="I29" s="4"/>
      <c r="J29" s="4"/>
    </row>
    <row r="30" spans="1:10" ht="12.75">
      <c r="A30" s="6"/>
      <c r="B30" s="7"/>
      <c r="C30" s="8" t="s">
        <v>8</v>
      </c>
      <c r="D30" s="9"/>
      <c r="E30" s="7"/>
      <c r="F30" s="8" t="s">
        <v>9</v>
      </c>
      <c r="G30" s="9"/>
      <c r="H30" s="7"/>
      <c r="I30" s="10" t="s">
        <v>10</v>
      </c>
      <c r="J30" s="9"/>
    </row>
    <row r="31" spans="1:10" ht="12.75">
      <c r="A31" s="11"/>
      <c r="B31" s="12" t="s">
        <v>5</v>
      </c>
      <c r="C31" s="13" t="s">
        <v>6</v>
      </c>
      <c r="D31" s="13" t="s">
        <v>4</v>
      </c>
      <c r="E31" s="12" t="s">
        <v>5</v>
      </c>
      <c r="F31" s="13" t="s">
        <v>6</v>
      </c>
      <c r="G31" s="13" t="s">
        <v>4</v>
      </c>
      <c r="H31" s="12" t="s">
        <v>5</v>
      </c>
      <c r="I31" s="13" t="s">
        <v>6</v>
      </c>
      <c r="J31" s="13" t="s">
        <v>4</v>
      </c>
    </row>
    <row r="32" spans="1:10" ht="12.75">
      <c r="A32" s="14"/>
      <c r="B32" s="15"/>
      <c r="C32" s="16"/>
      <c r="D32" s="16"/>
      <c r="E32" s="15"/>
      <c r="F32" s="16"/>
      <c r="G32" s="16"/>
      <c r="H32" s="15"/>
      <c r="I32" s="16"/>
      <c r="J32" s="16"/>
    </row>
    <row r="33" spans="1:10" ht="12.75">
      <c r="A33" s="20" t="s">
        <v>4</v>
      </c>
      <c r="B33" s="70">
        <f>290+33+7+154+16</f>
        <v>500</v>
      </c>
      <c r="C33" s="71">
        <f>566+52+6+290+39</f>
        <v>953</v>
      </c>
      <c r="D33" s="71">
        <f>SUM(B33:C33)</f>
        <v>1453</v>
      </c>
      <c r="E33" s="70">
        <f>157+5+1+79+1</f>
        <v>243</v>
      </c>
      <c r="F33" s="71">
        <f>258+29+1+157+0</f>
        <v>445</v>
      </c>
      <c r="G33" s="71">
        <f>SUM(E33:F33)</f>
        <v>688</v>
      </c>
      <c r="H33" s="70">
        <f>SUM(B33,E33)</f>
        <v>743</v>
      </c>
      <c r="I33" s="71">
        <f>SUM(C33,F33)</f>
        <v>1398</v>
      </c>
      <c r="J33" s="71">
        <f>SUM(H33:I33)</f>
        <v>2141</v>
      </c>
    </row>
    <row r="35" ht="12.75">
      <c r="A35" s="88" t="s">
        <v>73</v>
      </c>
    </row>
  </sheetData>
  <sheetProtection/>
  <printOptions horizontalCentered="1"/>
  <pageMargins left="0.3937007874015748" right="0.3937007874015748" top="0.7874015748031497" bottom="0" header="0.5118110236220472" footer="0.5118110236220472"/>
  <pageSetup fitToHeight="1" fitToWidth="1" orientation="portrait" paperSize="9"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dimension ref="A1:P33"/>
  <sheetViews>
    <sheetView zoomScalePageLayoutView="0" workbookViewId="0" topLeftCell="A1">
      <selection activeCell="F33" sqref="F33"/>
    </sheetView>
  </sheetViews>
  <sheetFormatPr defaultColWidth="9.140625" defaultRowHeight="12.75"/>
  <cols>
    <col min="1" max="1" width="28.57421875" style="2" customWidth="1"/>
    <col min="2" max="10" width="9.00390625" style="2" customWidth="1"/>
    <col min="11" max="16" width="7.7109375" style="2" customWidth="1"/>
    <col min="17" max="16384" width="9.140625" style="2" customWidth="1"/>
  </cols>
  <sheetData>
    <row r="1" ht="12.75">
      <c r="A1" s="72" t="s">
        <v>69</v>
      </c>
    </row>
    <row r="2" spans="1:16" ht="12.75">
      <c r="A2" s="3" t="s">
        <v>0</v>
      </c>
      <c r="B2" s="4"/>
      <c r="C2" s="5"/>
      <c r="D2" s="5"/>
      <c r="E2" s="4"/>
      <c r="F2" s="4"/>
      <c r="G2" s="4"/>
      <c r="H2" s="5"/>
      <c r="I2" s="4"/>
      <c r="J2" s="4"/>
      <c r="K2" s="21" t="s">
        <v>11</v>
      </c>
      <c r="L2" s="4"/>
      <c r="M2" s="4"/>
      <c r="N2" s="4"/>
      <c r="O2" s="4"/>
      <c r="P2" s="4"/>
    </row>
    <row r="3" spans="1:16" ht="12.75">
      <c r="A3" s="3"/>
      <c r="B3" s="4"/>
      <c r="C3" s="3"/>
      <c r="D3" s="5"/>
      <c r="E3" s="4"/>
      <c r="F3" s="4"/>
      <c r="G3" s="4"/>
      <c r="H3" s="5"/>
      <c r="I3" s="4"/>
      <c r="J3" s="4"/>
      <c r="K3" s="21"/>
      <c r="L3" s="4"/>
      <c r="M3" s="4"/>
      <c r="N3" s="4"/>
      <c r="O3" s="4"/>
      <c r="P3" s="4"/>
    </row>
    <row r="4" spans="1:16" ht="12.75">
      <c r="A4" s="3" t="s">
        <v>70</v>
      </c>
      <c r="B4" s="4"/>
      <c r="C4" s="3"/>
      <c r="D4" s="5"/>
      <c r="E4" s="5"/>
      <c r="F4" s="4"/>
      <c r="G4" s="4"/>
      <c r="H4" s="5"/>
      <c r="I4" s="4"/>
      <c r="J4" s="4"/>
      <c r="K4" s="21" t="s">
        <v>11</v>
      </c>
      <c r="L4" s="4"/>
      <c r="M4" s="4"/>
      <c r="N4" s="4"/>
      <c r="O4" s="4"/>
      <c r="P4" s="4"/>
    </row>
    <row r="5" spans="1:16" ht="12.75">
      <c r="A5" s="3"/>
      <c r="B5" s="4"/>
      <c r="C5" s="3"/>
      <c r="D5" s="5"/>
      <c r="E5" s="5"/>
      <c r="F5" s="4"/>
      <c r="G5" s="4"/>
      <c r="H5" s="5"/>
      <c r="I5" s="4"/>
      <c r="J5" s="4"/>
      <c r="K5" s="21"/>
      <c r="L5" s="4"/>
      <c r="M5" s="4"/>
      <c r="N5" s="4"/>
      <c r="O5" s="4"/>
      <c r="P5" s="4"/>
    </row>
    <row r="6" spans="1:16" ht="12.75">
      <c r="A6" s="3" t="s">
        <v>1</v>
      </c>
      <c r="B6" s="4"/>
      <c r="C6" s="3"/>
      <c r="D6" s="4"/>
      <c r="E6" s="5"/>
      <c r="F6" s="4"/>
      <c r="G6" s="4"/>
      <c r="H6" s="4"/>
      <c r="I6" s="4"/>
      <c r="J6" s="4"/>
      <c r="K6" s="21" t="s">
        <v>11</v>
      </c>
      <c r="L6" s="4"/>
      <c r="M6" s="4"/>
      <c r="N6" s="4"/>
      <c r="O6" s="4"/>
      <c r="P6" s="4"/>
    </row>
    <row r="7" ht="13.5" thickBot="1"/>
    <row r="8" spans="1:10" s="24" customFormat="1" ht="12.75">
      <c r="A8" s="22"/>
      <c r="B8" s="23"/>
      <c r="C8" s="22" t="s">
        <v>2</v>
      </c>
      <c r="D8" s="22"/>
      <c r="E8" s="23"/>
      <c r="F8" s="22" t="s">
        <v>3</v>
      </c>
      <c r="G8" s="22"/>
      <c r="H8" s="23"/>
      <c r="I8" s="22" t="s">
        <v>4</v>
      </c>
      <c r="J8" s="22"/>
    </row>
    <row r="9" spans="1:10" ht="12.75">
      <c r="A9" s="11"/>
      <c r="B9" s="75" t="s">
        <v>5</v>
      </c>
      <c r="C9" s="76" t="s">
        <v>6</v>
      </c>
      <c r="D9" s="76" t="s">
        <v>4</v>
      </c>
      <c r="E9" s="75" t="s">
        <v>5</v>
      </c>
      <c r="F9" s="76" t="s">
        <v>6</v>
      </c>
      <c r="G9" s="76" t="s">
        <v>4</v>
      </c>
      <c r="H9" s="75" t="s">
        <v>5</v>
      </c>
      <c r="I9" s="76" t="s">
        <v>6</v>
      </c>
      <c r="J9" s="76" t="s">
        <v>4</v>
      </c>
    </row>
    <row r="10" spans="1:10" ht="12.75">
      <c r="A10" s="14"/>
      <c r="B10" s="15"/>
      <c r="C10" s="16"/>
      <c r="D10" s="16"/>
      <c r="E10" s="15"/>
      <c r="F10" s="16"/>
      <c r="G10" s="16"/>
      <c r="H10" s="15"/>
      <c r="I10" s="16"/>
      <c r="J10" s="16"/>
    </row>
    <row r="11" spans="1:10" s="1" customFormat="1" ht="12.75">
      <c r="A11" s="20" t="s">
        <v>4</v>
      </c>
      <c r="B11" s="70">
        <v>2677</v>
      </c>
      <c r="C11" s="71">
        <v>2737</v>
      </c>
      <c r="D11" s="71">
        <f>SUM(B11:C11)</f>
        <v>5414</v>
      </c>
      <c r="E11" s="70">
        <v>2343</v>
      </c>
      <c r="F11" s="71">
        <v>2377</v>
      </c>
      <c r="G11" s="71">
        <f>SUM(E11:F11)</f>
        <v>4720</v>
      </c>
      <c r="H11" s="70">
        <f>SUM(B11,E11)</f>
        <v>5020</v>
      </c>
      <c r="I11" s="71">
        <f>SUM(C11,F11)</f>
        <v>5114</v>
      </c>
      <c r="J11" s="71">
        <f>SUM(H11:I11)</f>
        <v>10134</v>
      </c>
    </row>
    <row r="12" spans="1:10" s="1" customFormat="1" ht="12.75">
      <c r="A12" s="18"/>
      <c r="B12" s="20"/>
      <c r="C12" s="20"/>
      <c r="D12" s="20"/>
      <c r="E12" s="20"/>
      <c r="F12" s="20"/>
      <c r="G12" s="20"/>
      <c r="H12" s="20"/>
      <c r="I12" s="20"/>
      <c r="J12" s="20"/>
    </row>
    <row r="13" spans="1:10" s="1" customFormat="1" ht="12.75">
      <c r="A13" s="18"/>
      <c r="B13" s="20"/>
      <c r="C13" s="20"/>
      <c r="D13" s="20"/>
      <c r="E13" s="20"/>
      <c r="F13" s="20"/>
      <c r="G13" s="20"/>
      <c r="H13" s="20"/>
      <c r="I13" s="20"/>
      <c r="J13" s="20"/>
    </row>
    <row r="14" spans="1:10" s="1" customFormat="1" ht="12.75">
      <c r="A14" s="18"/>
      <c r="B14" s="20"/>
      <c r="C14" s="20"/>
      <c r="D14" s="20"/>
      <c r="E14" s="20"/>
      <c r="F14" s="20"/>
      <c r="G14" s="20"/>
      <c r="H14" s="20"/>
      <c r="I14" s="20"/>
      <c r="J14" s="20"/>
    </row>
    <row r="15" spans="1:10" s="1" customFormat="1" ht="12.75">
      <c r="A15" s="28" t="s">
        <v>12</v>
      </c>
      <c r="B15" s="29"/>
      <c r="C15" s="29"/>
      <c r="D15" s="29"/>
      <c r="E15" s="30"/>
      <c r="F15" s="30"/>
      <c r="G15" s="29"/>
      <c r="H15" s="29"/>
      <c r="I15" s="29"/>
      <c r="J15" s="29"/>
    </row>
    <row r="16" spans="1:10" ht="12.75">
      <c r="A16" s="29"/>
      <c r="B16" s="29"/>
      <c r="C16" s="29"/>
      <c r="D16" s="29"/>
      <c r="E16" s="30"/>
      <c r="F16" s="28"/>
      <c r="G16" s="29"/>
      <c r="H16" s="29"/>
      <c r="I16" s="29"/>
      <c r="J16" s="29"/>
    </row>
    <row r="17" spans="1:10" ht="12.75">
      <c r="A17" s="28" t="s">
        <v>70</v>
      </c>
      <c r="B17" s="29"/>
      <c r="C17" s="29"/>
      <c r="D17" s="29"/>
      <c r="E17" s="30"/>
      <c r="F17" s="30"/>
      <c r="G17" s="29"/>
      <c r="H17" s="29"/>
      <c r="I17" s="29"/>
      <c r="J17" s="29"/>
    </row>
    <row r="18" spans="1:10" ht="12.75">
      <c r="A18" s="31"/>
      <c r="B18" s="32"/>
      <c r="C18" s="32"/>
      <c r="D18" s="32"/>
      <c r="E18" s="32"/>
      <c r="F18" s="32"/>
      <c r="G18" s="32"/>
      <c r="H18" s="32"/>
      <c r="I18" s="32"/>
      <c r="J18" s="32"/>
    </row>
    <row r="19" spans="1:10" ht="12.75">
      <c r="A19" s="28" t="s">
        <v>1</v>
      </c>
      <c r="B19" s="33"/>
      <c r="C19" s="33"/>
      <c r="D19" s="33"/>
      <c r="E19" s="33"/>
      <c r="F19" s="34"/>
      <c r="G19" s="33"/>
      <c r="H19" s="33"/>
      <c r="I19" s="33"/>
      <c r="J19" s="33"/>
    </row>
    <row r="20" spans="1:10" ht="13.5" thickBot="1">
      <c r="A20" s="27"/>
      <c r="B20" s="32"/>
      <c r="C20" s="32"/>
      <c r="D20" s="32"/>
      <c r="E20" s="32"/>
      <c r="F20" s="32"/>
      <c r="G20" s="32"/>
      <c r="H20" s="32"/>
      <c r="I20" s="32"/>
      <c r="J20" s="32"/>
    </row>
    <row r="21" spans="1:10" ht="12.75">
      <c r="A21" s="35"/>
      <c r="B21" s="36" t="s">
        <v>2</v>
      </c>
      <c r="C21" s="37"/>
      <c r="D21" s="37"/>
      <c r="E21" s="36" t="s">
        <v>3</v>
      </c>
      <c r="F21" s="37"/>
      <c r="G21" s="37"/>
      <c r="H21" s="36" t="s">
        <v>4</v>
      </c>
      <c r="I21" s="37"/>
      <c r="J21" s="37"/>
    </row>
    <row r="22" spans="1:10" ht="12.75">
      <c r="A22" s="77" t="s">
        <v>13</v>
      </c>
      <c r="B22" s="38" t="s">
        <v>5</v>
      </c>
      <c r="C22" s="39" t="s">
        <v>6</v>
      </c>
      <c r="D22" s="39" t="s">
        <v>4</v>
      </c>
      <c r="E22" s="38" t="s">
        <v>5</v>
      </c>
      <c r="F22" s="39" t="s">
        <v>6</v>
      </c>
      <c r="G22" s="39" t="s">
        <v>4</v>
      </c>
      <c r="H22" s="38" t="s">
        <v>5</v>
      </c>
      <c r="I22" s="39" t="s">
        <v>6</v>
      </c>
      <c r="J22" s="39" t="s">
        <v>4</v>
      </c>
    </row>
    <row r="23" spans="1:10" ht="12.75">
      <c r="A23" s="40"/>
      <c r="B23" s="41"/>
      <c r="C23" s="42"/>
      <c r="D23" s="42"/>
      <c r="E23" s="41"/>
      <c r="F23" s="42"/>
      <c r="G23" s="42"/>
      <c r="H23" s="41"/>
      <c r="I23" s="42"/>
      <c r="J23" s="42"/>
    </row>
    <row r="24" spans="1:10" ht="12.75">
      <c r="A24" s="27" t="s">
        <v>14</v>
      </c>
      <c r="B24" s="79">
        <v>0</v>
      </c>
      <c r="C24" s="80">
        <v>0</v>
      </c>
      <c r="D24" s="32">
        <f>SUM(B24:C24)</f>
        <v>0</v>
      </c>
      <c r="E24" s="43">
        <v>13</v>
      </c>
      <c r="F24" s="32">
        <v>22</v>
      </c>
      <c r="G24" s="32">
        <f aca="true" t="shared" si="0" ref="G24:G32">SUM(E24:F24)</f>
        <v>35</v>
      </c>
      <c r="H24" s="43">
        <f>B24+E24</f>
        <v>13</v>
      </c>
      <c r="I24" s="32">
        <f>C24+F24</f>
        <v>22</v>
      </c>
      <c r="J24" s="32">
        <f aca="true" t="shared" si="1" ref="J24:J32">SUM(H24:I24)</f>
        <v>35</v>
      </c>
    </row>
    <row r="25" spans="1:10" ht="12.75">
      <c r="A25" s="27" t="s">
        <v>15</v>
      </c>
      <c r="B25" s="79">
        <v>1</v>
      </c>
      <c r="C25" s="80">
        <v>2</v>
      </c>
      <c r="D25" s="32">
        <f aca="true" t="shared" si="2" ref="D25:D32">SUM(B25:C25)</f>
        <v>3</v>
      </c>
      <c r="E25" s="43">
        <v>196</v>
      </c>
      <c r="F25" s="32">
        <v>388</v>
      </c>
      <c r="G25" s="32">
        <f t="shared" si="0"/>
        <v>584</v>
      </c>
      <c r="H25" s="43">
        <f aca="true" t="shared" si="3" ref="H25:I32">B25+E25</f>
        <v>197</v>
      </c>
      <c r="I25" s="32">
        <f t="shared" si="3"/>
        <v>390</v>
      </c>
      <c r="J25" s="32">
        <f t="shared" si="1"/>
        <v>587</v>
      </c>
    </row>
    <row r="26" spans="1:10" ht="12.75">
      <c r="A26" s="27" t="s">
        <v>16</v>
      </c>
      <c r="B26" s="79">
        <v>57</v>
      </c>
      <c r="C26" s="80">
        <v>90</v>
      </c>
      <c r="D26" s="32">
        <f t="shared" si="2"/>
        <v>147</v>
      </c>
      <c r="E26" s="43">
        <v>475</v>
      </c>
      <c r="F26" s="32">
        <v>627</v>
      </c>
      <c r="G26" s="32">
        <f t="shared" si="0"/>
        <v>1102</v>
      </c>
      <c r="H26" s="43">
        <f t="shared" si="3"/>
        <v>532</v>
      </c>
      <c r="I26" s="32">
        <f t="shared" si="3"/>
        <v>717</v>
      </c>
      <c r="J26" s="32">
        <f t="shared" si="1"/>
        <v>1249</v>
      </c>
    </row>
    <row r="27" spans="1:10" ht="12.75">
      <c r="A27" s="27" t="s">
        <v>17</v>
      </c>
      <c r="B27" s="79">
        <v>189</v>
      </c>
      <c r="C27" s="80">
        <v>307</v>
      </c>
      <c r="D27" s="32">
        <f t="shared" si="2"/>
        <v>496</v>
      </c>
      <c r="E27" s="43">
        <v>463</v>
      </c>
      <c r="F27" s="32">
        <v>538</v>
      </c>
      <c r="G27" s="32">
        <f t="shared" si="0"/>
        <v>1001</v>
      </c>
      <c r="H27" s="43">
        <f t="shared" si="3"/>
        <v>652</v>
      </c>
      <c r="I27" s="32">
        <f t="shared" si="3"/>
        <v>845</v>
      </c>
      <c r="J27" s="32">
        <f t="shared" si="1"/>
        <v>1497</v>
      </c>
    </row>
    <row r="28" spans="1:10" ht="12.75">
      <c r="A28" s="27" t="s">
        <v>18</v>
      </c>
      <c r="B28" s="79">
        <v>246</v>
      </c>
      <c r="C28" s="80">
        <v>358</v>
      </c>
      <c r="D28" s="32">
        <f t="shared" si="2"/>
        <v>604</v>
      </c>
      <c r="E28" s="43">
        <v>344</v>
      </c>
      <c r="F28" s="32">
        <v>344</v>
      </c>
      <c r="G28" s="32">
        <f t="shared" si="0"/>
        <v>688</v>
      </c>
      <c r="H28" s="43">
        <f t="shared" si="3"/>
        <v>590</v>
      </c>
      <c r="I28" s="32">
        <f t="shared" si="3"/>
        <v>702</v>
      </c>
      <c r="J28" s="32">
        <f t="shared" si="1"/>
        <v>1292</v>
      </c>
    </row>
    <row r="29" spans="1:10" ht="12.75">
      <c r="A29" s="27" t="s">
        <v>19</v>
      </c>
      <c r="B29" s="79">
        <v>360</v>
      </c>
      <c r="C29" s="80">
        <v>501</v>
      </c>
      <c r="D29" s="32">
        <f t="shared" si="2"/>
        <v>861</v>
      </c>
      <c r="E29" s="43">
        <v>329</v>
      </c>
      <c r="F29" s="32">
        <v>253</v>
      </c>
      <c r="G29" s="32">
        <f t="shared" si="0"/>
        <v>582</v>
      </c>
      <c r="H29" s="43">
        <f t="shared" si="3"/>
        <v>689</v>
      </c>
      <c r="I29" s="32">
        <f t="shared" si="3"/>
        <v>754</v>
      </c>
      <c r="J29" s="32">
        <f t="shared" si="1"/>
        <v>1443</v>
      </c>
    </row>
    <row r="30" spans="1:10" ht="12.75">
      <c r="A30" s="27" t="s">
        <v>20</v>
      </c>
      <c r="B30" s="79">
        <v>596</v>
      </c>
      <c r="C30" s="80">
        <v>616</v>
      </c>
      <c r="D30" s="32">
        <f t="shared" si="2"/>
        <v>1212</v>
      </c>
      <c r="E30" s="43">
        <v>257</v>
      </c>
      <c r="F30" s="32">
        <v>150</v>
      </c>
      <c r="G30" s="32">
        <f t="shared" si="0"/>
        <v>407</v>
      </c>
      <c r="H30" s="43">
        <f t="shared" si="3"/>
        <v>853</v>
      </c>
      <c r="I30" s="32">
        <f t="shared" si="3"/>
        <v>766</v>
      </c>
      <c r="J30" s="32">
        <f t="shared" si="1"/>
        <v>1619</v>
      </c>
    </row>
    <row r="31" spans="1:10" ht="12.75">
      <c r="A31" s="27" t="s">
        <v>21</v>
      </c>
      <c r="B31" s="79">
        <v>802</v>
      </c>
      <c r="C31" s="80">
        <v>649</v>
      </c>
      <c r="D31" s="32">
        <f t="shared" si="2"/>
        <v>1451</v>
      </c>
      <c r="E31" s="43">
        <v>163</v>
      </c>
      <c r="F31" s="32">
        <v>43</v>
      </c>
      <c r="G31" s="32">
        <f t="shared" si="0"/>
        <v>206</v>
      </c>
      <c r="H31" s="43">
        <f t="shared" si="3"/>
        <v>965</v>
      </c>
      <c r="I31" s="32">
        <f t="shared" si="3"/>
        <v>692</v>
      </c>
      <c r="J31" s="32">
        <f t="shared" si="1"/>
        <v>1657</v>
      </c>
    </row>
    <row r="32" spans="1:10" ht="12.75">
      <c r="A32" s="27" t="s">
        <v>22</v>
      </c>
      <c r="B32" s="81">
        <f>391+35</f>
        <v>426</v>
      </c>
      <c r="C32" s="80">
        <f>208+6</f>
        <v>214</v>
      </c>
      <c r="D32" s="32">
        <f t="shared" si="2"/>
        <v>640</v>
      </c>
      <c r="E32" s="43">
        <f>87+16</f>
        <v>103</v>
      </c>
      <c r="F32" s="32">
        <f>11+1</f>
        <v>12</v>
      </c>
      <c r="G32" s="44">
        <f t="shared" si="0"/>
        <v>115</v>
      </c>
      <c r="H32" s="43">
        <f t="shared" si="3"/>
        <v>529</v>
      </c>
      <c r="I32" s="32">
        <f t="shared" si="3"/>
        <v>226</v>
      </c>
      <c r="J32" s="44">
        <f t="shared" si="1"/>
        <v>755</v>
      </c>
    </row>
    <row r="33" spans="1:10" ht="12.75">
      <c r="A33" s="45" t="s">
        <v>4</v>
      </c>
      <c r="B33" s="46">
        <f aca="true" t="shared" si="4" ref="B33:J33">SUM(B24:B32)</f>
        <v>2677</v>
      </c>
      <c r="C33" s="47">
        <f t="shared" si="4"/>
        <v>2737</v>
      </c>
      <c r="D33" s="47">
        <f t="shared" si="4"/>
        <v>5414</v>
      </c>
      <c r="E33" s="46">
        <f>SUM(E24:E32)</f>
        <v>2343</v>
      </c>
      <c r="F33" s="47">
        <f t="shared" si="4"/>
        <v>2377</v>
      </c>
      <c r="G33" s="47">
        <f t="shared" si="4"/>
        <v>4720</v>
      </c>
      <c r="H33" s="46">
        <f t="shared" si="4"/>
        <v>5020</v>
      </c>
      <c r="I33" s="47">
        <f t="shared" si="4"/>
        <v>5114</v>
      </c>
      <c r="J33" s="47">
        <f t="shared" si="4"/>
        <v>10134</v>
      </c>
    </row>
    <row r="45" s="1" customFormat="1" ht="12.75"/>
    <row r="53" s="1" customFormat="1" ht="12.75"/>
    <row r="60" s="1" customFormat="1" ht="12.75"/>
  </sheetData>
  <sheetProtection/>
  <printOptions horizontalCentered="1"/>
  <pageMargins left="0.1968503937007874" right="0.1968503937007874" top="0.7874015748031497" bottom="0.3937007874015748" header="0.5118110236220472" footer="0.5118110236220472"/>
  <pageSetup horizontalDpi="1200" verticalDpi="1200" orientation="portrait" paperSize="9" scale="90"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dimension ref="A1:J33"/>
  <sheetViews>
    <sheetView zoomScalePageLayoutView="0" workbookViewId="0" topLeftCell="A1">
      <selection activeCell="F32" sqref="F32"/>
    </sheetView>
  </sheetViews>
  <sheetFormatPr defaultColWidth="9.140625" defaultRowHeight="12.75"/>
  <cols>
    <col min="1" max="1" width="28.8515625" style="49" customWidth="1"/>
    <col min="2" max="16384" width="9.140625" style="49" customWidth="1"/>
  </cols>
  <sheetData>
    <row r="1" ht="12.75">
      <c r="A1" s="72" t="s">
        <v>69</v>
      </c>
    </row>
    <row r="2" spans="1:10" s="2" customFormat="1" ht="12.75">
      <c r="A2" s="3" t="s">
        <v>7</v>
      </c>
      <c r="B2" s="4"/>
      <c r="C2" s="5"/>
      <c r="D2" s="5"/>
      <c r="E2" s="4"/>
      <c r="F2" s="4"/>
      <c r="G2" s="4"/>
      <c r="H2" s="5"/>
      <c r="I2" s="4"/>
      <c r="J2" s="4"/>
    </row>
    <row r="3" spans="1:10" s="2" customFormat="1" ht="12.75">
      <c r="A3" s="3"/>
      <c r="B3" s="4"/>
      <c r="C3" s="3"/>
      <c r="D3" s="5"/>
      <c r="E3" s="4"/>
      <c r="F3" s="4"/>
      <c r="G3" s="4"/>
      <c r="H3" s="5"/>
      <c r="I3" s="4"/>
      <c r="J3" s="4"/>
    </row>
    <row r="4" spans="1:10" s="2" customFormat="1" ht="12.75">
      <c r="A4" s="3" t="s">
        <v>71</v>
      </c>
      <c r="B4" s="4"/>
      <c r="C4" s="3"/>
      <c r="D4" s="5"/>
      <c r="E4" s="5"/>
      <c r="F4" s="4"/>
      <c r="G4" s="4"/>
      <c r="H4" s="5"/>
      <c r="I4" s="4"/>
      <c r="J4" s="4"/>
    </row>
    <row r="5" spans="1:10" s="2" customFormat="1" ht="12.75">
      <c r="A5" s="3"/>
      <c r="B5" s="4"/>
      <c r="C5" s="3"/>
      <c r="D5" s="5"/>
      <c r="E5" s="5"/>
      <c r="F5" s="4"/>
      <c r="G5" s="4"/>
      <c r="H5" s="5"/>
      <c r="I5" s="4"/>
      <c r="J5" s="4"/>
    </row>
    <row r="6" spans="1:10" s="2" customFormat="1" ht="12.75">
      <c r="A6" s="3" t="s">
        <v>1</v>
      </c>
      <c r="B6" s="4"/>
      <c r="C6" s="3"/>
      <c r="D6" s="4"/>
      <c r="E6" s="5"/>
      <c r="F6" s="4"/>
      <c r="G6" s="4"/>
      <c r="H6" s="4"/>
      <c r="I6" s="4"/>
      <c r="J6" s="4"/>
    </row>
    <row r="7" s="2" customFormat="1" ht="13.5" thickBot="1"/>
    <row r="8" spans="1:10" s="2" customFormat="1" ht="12.75">
      <c r="A8" s="22"/>
      <c r="B8" s="23"/>
      <c r="C8" s="22" t="s">
        <v>2</v>
      </c>
      <c r="D8" s="22"/>
      <c r="E8" s="23"/>
      <c r="F8" s="22" t="s">
        <v>3</v>
      </c>
      <c r="G8" s="22"/>
      <c r="H8" s="23"/>
      <c r="I8" s="22" t="s">
        <v>4</v>
      </c>
      <c r="J8" s="22"/>
    </row>
    <row r="9" spans="1:10" s="2" customFormat="1" ht="12.75">
      <c r="A9" s="11"/>
      <c r="B9" s="25" t="s">
        <v>5</v>
      </c>
      <c r="C9" s="26" t="s">
        <v>6</v>
      </c>
      <c r="D9" s="26" t="s">
        <v>4</v>
      </c>
      <c r="E9" s="25" t="s">
        <v>5</v>
      </c>
      <c r="F9" s="26" t="s">
        <v>6</v>
      </c>
      <c r="G9" s="26" t="s">
        <v>4</v>
      </c>
      <c r="H9" s="25" t="s">
        <v>5</v>
      </c>
      <c r="I9" s="26" t="s">
        <v>6</v>
      </c>
      <c r="J9" s="26" t="s">
        <v>4</v>
      </c>
    </row>
    <row r="10" spans="1:10" s="2" customFormat="1" ht="12.75">
      <c r="A10" s="14"/>
      <c r="B10" s="15"/>
      <c r="C10" s="16"/>
      <c r="D10" s="16"/>
      <c r="E10" s="15"/>
      <c r="F10" s="16"/>
      <c r="G10" s="16"/>
      <c r="H10" s="15"/>
      <c r="I10" s="16"/>
      <c r="J10" s="16"/>
    </row>
    <row r="11" spans="1:10" s="1" customFormat="1" ht="12.75">
      <c r="A11" s="20" t="s">
        <v>4</v>
      </c>
      <c r="B11" s="70">
        <v>527</v>
      </c>
      <c r="C11" s="71">
        <v>1125</v>
      </c>
      <c r="D11" s="71">
        <f>SUM(B11:C11)</f>
        <v>1652</v>
      </c>
      <c r="E11" s="70">
        <v>271</v>
      </c>
      <c r="F11" s="71">
        <v>535</v>
      </c>
      <c r="G11" s="71">
        <f>SUM(E11:F11)</f>
        <v>806</v>
      </c>
      <c r="H11" s="70">
        <f>SUM(B11,E11)</f>
        <v>798</v>
      </c>
      <c r="I11" s="71">
        <f>SUM(C11,F11)</f>
        <v>1660</v>
      </c>
      <c r="J11" s="71">
        <f>SUM(H11:I11)</f>
        <v>2458</v>
      </c>
    </row>
    <row r="15" spans="1:10" ht="12.75">
      <c r="A15" s="50" t="s">
        <v>23</v>
      </c>
      <c r="B15" s="51"/>
      <c r="C15" s="51"/>
      <c r="D15" s="51"/>
      <c r="E15" s="52"/>
      <c r="F15" s="52"/>
      <c r="G15" s="51"/>
      <c r="H15" s="51"/>
      <c r="I15" s="51"/>
      <c r="J15" s="51"/>
    </row>
    <row r="16" spans="1:10" ht="12.75">
      <c r="A16" s="51"/>
      <c r="B16" s="51"/>
      <c r="C16" s="51"/>
      <c r="D16" s="51"/>
      <c r="E16" s="52"/>
      <c r="F16" s="50"/>
      <c r="G16" s="51"/>
      <c r="H16" s="51"/>
      <c r="I16" s="51"/>
      <c r="J16" s="51"/>
    </row>
    <row r="17" spans="1:10" ht="12.75">
      <c r="A17" s="50" t="s">
        <v>71</v>
      </c>
      <c r="B17" s="51"/>
      <c r="C17" s="51"/>
      <c r="D17" s="51"/>
      <c r="E17" s="52"/>
      <c r="F17" s="52"/>
      <c r="G17" s="51"/>
      <c r="H17" s="51"/>
      <c r="I17" s="51"/>
      <c r="J17" s="51"/>
    </row>
    <row r="18" spans="1:10" ht="12.75">
      <c r="A18" s="53"/>
      <c r="B18" s="54"/>
      <c r="C18" s="54"/>
      <c r="D18" s="54"/>
      <c r="E18" s="54"/>
      <c r="F18" s="54"/>
      <c r="G18" s="54"/>
      <c r="H18" s="54"/>
      <c r="I18" s="54"/>
      <c r="J18" s="54"/>
    </row>
    <row r="19" spans="1:10" ht="12.75">
      <c r="A19" s="50" t="s">
        <v>1</v>
      </c>
      <c r="B19" s="55"/>
      <c r="C19" s="55"/>
      <c r="D19" s="55"/>
      <c r="E19" s="55"/>
      <c r="F19" s="56"/>
      <c r="G19" s="55"/>
      <c r="H19" s="55"/>
      <c r="I19" s="55"/>
      <c r="J19" s="55"/>
    </row>
    <row r="20" spans="1:10" ht="13.5" thickBot="1">
      <c r="A20" s="48"/>
      <c r="B20" s="54"/>
      <c r="C20" s="54"/>
      <c r="D20" s="54"/>
      <c r="E20" s="54"/>
      <c r="F20" s="54"/>
      <c r="G20" s="54"/>
      <c r="H20" s="54"/>
      <c r="I20" s="54"/>
      <c r="J20" s="54"/>
    </row>
    <row r="21" spans="1:10" ht="12.75">
      <c r="A21" s="57"/>
      <c r="B21" s="58" t="s">
        <v>2</v>
      </c>
      <c r="C21" s="59"/>
      <c r="D21" s="59"/>
      <c r="E21" s="58" t="s">
        <v>3</v>
      </c>
      <c r="F21" s="59"/>
      <c r="G21" s="59"/>
      <c r="H21" s="58" t="s">
        <v>4</v>
      </c>
      <c r="I21" s="59"/>
      <c r="J21" s="59"/>
    </row>
    <row r="22" spans="1:10" ht="12.75">
      <c r="A22" s="78" t="s">
        <v>13</v>
      </c>
      <c r="B22" s="60" t="s">
        <v>5</v>
      </c>
      <c r="C22" s="61" t="s">
        <v>6</v>
      </c>
      <c r="D22" s="61" t="s">
        <v>4</v>
      </c>
      <c r="E22" s="60" t="s">
        <v>5</v>
      </c>
      <c r="F22" s="61" t="s">
        <v>6</v>
      </c>
      <c r="G22" s="61" t="s">
        <v>4</v>
      </c>
      <c r="H22" s="60" t="s">
        <v>5</v>
      </c>
      <c r="I22" s="61" t="s">
        <v>6</v>
      </c>
      <c r="J22" s="61" t="s">
        <v>4</v>
      </c>
    </row>
    <row r="23" spans="1:10" ht="12.75">
      <c r="A23" s="62"/>
      <c r="B23" s="63"/>
      <c r="C23" s="64"/>
      <c r="D23" s="64"/>
      <c r="E23" s="63"/>
      <c r="F23" s="64"/>
      <c r="G23" s="64"/>
      <c r="H23" s="63"/>
      <c r="I23" s="64"/>
      <c r="J23" s="64"/>
    </row>
    <row r="24" spans="1:10" ht="12.75">
      <c r="A24" s="48" t="s">
        <v>14</v>
      </c>
      <c r="B24" s="43">
        <v>0</v>
      </c>
      <c r="C24" s="32">
        <v>0</v>
      </c>
      <c r="D24" s="54">
        <f>SUM(B24:C24)</f>
        <v>0</v>
      </c>
      <c r="E24" s="65">
        <v>8</v>
      </c>
      <c r="F24" s="54">
        <v>19</v>
      </c>
      <c r="G24" s="54">
        <f aca="true" t="shared" si="0" ref="G24:G32">SUM(E24:F24)</f>
        <v>27</v>
      </c>
      <c r="H24" s="65">
        <f>SUM('11PHOG03'!B24,E24)</f>
        <v>8</v>
      </c>
      <c r="I24" s="54">
        <f>SUM('11PHOG03'!C24,F24)</f>
        <v>19</v>
      </c>
      <c r="J24" s="54">
        <f aca="true" t="shared" si="1" ref="J24:J32">SUM(H24:I24)</f>
        <v>27</v>
      </c>
    </row>
    <row r="25" spans="1:10" ht="12.75">
      <c r="A25" s="48" t="s">
        <v>15</v>
      </c>
      <c r="B25" s="43">
        <v>7</v>
      </c>
      <c r="C25" s="32">
        <v>12</v>
      </c>
      <c r="D25" s="54">
        <f aca="true" t="shared" si="2" ref="D25:D32">SUM(B25:C25)</f>
        <v>19</v>
      </c>
      <c r="E25" s="65">
        <v>70</v>
      </c>
      <c r="F25" s="54">
        <v>122</v>
      </c>
      <c r="G25" s="54">
        <f t="shared" si="0"/>
        <v>192</v>
      </c>
      <c r="H25" s="65">
        <f>SUM('11PHOG03'!B25,E25)</f>
        <v>77</v>
      </c>
      <c r="I25" s="54">
        <f>SUM('11PHOG03'!C25,F25)</f>
        <v>134</v>
      </c>
      <c r="J25" s="54">
        <f t="shared" si="1"/>
        <v>211</v>
      </c>
    </row>
    <row r="26" spans="1:10" ht="12.75">
      <c r="A26" s="48" t="s">
        <v>16</v>
      </c>
      <c r="B26" s="43">
        <v>50</v>
      </c>
      <c r="C26" s="32">
        <v>91</v>
      </c>
      <c r="D26" s="54">
        <f t="shared" si="2"/>
        <v>141</v>
      </c>
      <c r="E26" s="65">
        <v>74</v>
      </c>
      <c r="F26" s="54">
        <v>151</v>
      </c>
      <c r="G26" s="54">
        <f t="shared" si="0"/>
        <v>225</v>
      </c>
      <c r="H26" s="65">
        <f>SUM('11PHOG03'!B26,E26)</f>
        <v>124</v>
      </c>
      <c r="I26" s="54">
        <f>SUM('11PHOG03'!C26,F26)</f>
        <v>242</v>
      </c>
      <c r="J26" s="54">
        <f t="shared" si="1"/>
        <v>366</v>
      </c>
    </row>
    <row r="27" spans="1:10" ht="12.75">
      <c r="A27" s="48" t="s">
        <v>17</v>
      </c>
      <c r="B27" s="41">
        <v>75</v>
      </c>
      <c r="C27" s="32">
        <v>129</v>
      </c>
      <c r="D27" s="54">
        <f t="shared" si="2"/>
        <v>204</v>
      </c>
      <c r="E27" s="65">
        <v>44</v>
      </c>
      <c r="F27" s="54">
        <v>86</v>
      </c>
      <c r="G27" s="54">
        <f t="shared" si="0"/>
        <v>130</v>
      </c>
      <c r="H27" s="65">
        <f>SUM('11PHOG03'!B27,E27)</f>
        <v>119</v>
      </c>
      <c r="I27" s="54">
        <f>SUM('11PHOG03'!C27,F27)</f>
        <v>215</v>
      </c>
      <c r="J27" s="54">
        <f t="shared" si="1"/>
        <v>334</v>
      </c>
    </row>
    <row r="28" spans="1:10" ht="12.75">
      <c r="A28" s="48" t="s">
        <v>18</v>
      </c>
      <c r="B28" s="41">
        <v>59</v>
      </c>
      <c r="C28" s="32">
        <v>185</v>
      </c>
      <c r="D28" s="54">
        <f t="shared" si="2"/>
        <v>244</v>
      </c>
      <c r="E28" s="65">
        <v>28</v>
      </c>
      <c r="F28" s="54">
        <v>61</v>
      </c>
      <c r="G28" s="54">
        <f t="shared" si="0"/>
        <v>89</v>
      </c>
      <c r="H28" s="65">
        <f>SUM('11PHOG03'!B28,E28)</f>
        <v>87</v>
      </c>
      <c r="I28" s="54">
        <f>SUM('11PHOG03'!C28,F28)</f>
        <v>246</v>
      </c>
      <c r="J28" s="54">
        <f t="shared" si="1"/>
        <v>333</v>
      </c>
    </row>
    <row r="29" spans="1:10" ht="12.75">
      <c r="A29" s="48" t="s">
        <v>19</v>
      </c>
      <c r="B29" s="41">
        <v>74</v>
      </c>
      <c r="C29" s="32">
        <v>214</v>
      </c>
      <c r="D29" s="54">
        <f t="shared" si="2"/>
        <v>288</v>
      </c>
      <c r="E29" s="65">
        <v>25</v>
      </c>
      <c r="F29" s="54">
        <v>52</v>
      </c>
      <c r="G29" s="54">
        <f t="shared" si="0"/>
        <v>77</v>
      </c>
      <c r="H29" s="65">
        <f>SUM('11PHOG03'!B29,E29)</f>
        <v>99</v>
      </c>
      <c r="I29" s="54">
        <f>SUM('11PHOG03'!C29,F29)</f>
        <v>266</v>
      </c>
      <c r="J29" s="54">
        <f t="shared" si="1"/>
        <v>365</v>
      </c>
    </row>
    <row r="30" spans="1:10" ht="12.75">
      <c r="A30" s="48" t="s">
        <v>20</v>
      </c>
      <c r="B30" s="41">
        <v>92</v>
      </c>
      <c r="C30" s="32">
        <v>209</v>
      </c>
      <c r="D30" s="54">
        <f t="shared" si="2"/>
        <v>301</v>
      </c>
      <c r="E30" s="65">
        <v>14</v>
      </c>
      <c r="F30" s="54">
        <v>25</v>
      </c>
      <c r="G30" s="54">
        <f t="shared" si="0"/>
        <v>39</v>
      </c>
      <c r="H30" s="65">
        <f>SUM('11PHOG03'!B30,E30)</f>
        <v>106</v>
      </c>
      <c r="I30" s="54">
        <f>SUM('11PHOG03'!C30,F30)</f>
        <v>234</v>
      </c>
      <c r="J30" s="54">
        <f t="shared" si="1"/>
        <v>340</v>
      </c>
    </row>
    <row r="31" spans="1:10" ht="12.75">
      <c r="A31" s="48" t="s">
        <v>21</v>
      </c>
      <c r="B31" s="41">
        <v>117</v>
      </c>
      <c r="C31" s="32">
        <v>230</v>
      </c>
      <c r="D31" s="54">
        <f t="shared" si="2"/>
        <v>347</v>
      </c>
      <c r="E31" s="65">
        <v>5</v>
      </c>
      <c r="F31" s="54">
        <v>19</v>
      </c>
      <c r="G31" s="54">
        <f t="shared" si="0"/>
        <v>24</v>
      </c>
      <c r="H31" s="65">
        <f>SUM('11PHOG03'!B31,E31)</f>
        <v>122</v>
      </c>
      <c r="I31" s="54">
        <f>SUM('11PHOG03'!C31,F31)</f>
        <v>249</v>
      </c>
      <c r="J31" s="54">
        <f t="shared" si="1"/>
        <v>371</v>
      </c>
    </row>
    <row r="32" spans="1:10" ht="12.75">
      <c r="A32" s="48" t="s">
        <v>22</v>
      </c>
      <c r="B32" s="41">
        <f>51+2</f>
        <v>53</v>
      </c>
      <c r="C32" s="32">
        <f>53+2</f>
        <v>55</v>
      </c>
      <c r="D32" s="54">
        <f t="shared" si="2"/>
        <v>108</v>
      </c>
      <c r="E32" s="65">
        <v>3</v>
      </c>
      <c r="F32" s="54"/>
      <c r="G32" s="66">
        <f t="shared" si="0"/>
        <v>3</v>
      </c>
      <c r="H32" s="65">
        <f>SUM('11PHOG03'!B32,E32)</f>
        <v>56</v>
      </c>
      <c r="I32" s="54">
        <f>SUM('11PHOG03'!C32,F32)</f>
        <v>55</v>
      </c>
      <c r="J32" s="66">
        <f t="shared" si="1"/>
        <v>111</v>
      </c>
    </row>
    <row r="33" spans="1:10" ht="12.75">
      <c r="A33" s="67" t="s">
        <v>4</v>
      </c>
      <c r="B33" s="68">
        <f>SUM(B24:B32)</f>
        <v>527</v>
      </c>
      <c r="C33" s="69">
        <f>SUM(C24:C32)</f>
        <v>1125</v>
      </c>
      <c r="D33" s="69">
        <f aca="true" t="shared" si="3" ref="D33:J33">SUM(D24:D32)</f>
        <v>1652</v>
      </c>
      <c r="E33" s="68">
        <f t="shared" si="3"/>
        <v>271</v>
      </c>
      <c r="F33" s="69">
        <f t="shared" si="3"/>
        <v>535</v>
      </c>
      <c r="G33" s="69">
        <f t="shared" si="3"/>
        <v>806</v>
      </c>
      <c r="H33" s="68">
        <f t="shared" si="3"/>
        <v>798</v>
      </c>
      <c r="I33" s="69">
        <f t="shared" si="3"/>
        <v>1660</v>
      </c>
      <c r="J33" s="69">
        <f t="shared" si="3"/>
        <v>2458</v>
      </c>
    </row>
  </sheetData>
  <sheetProtection/>
  <printOptions horizontalCentered="1"/>
  <pageMargins left="0.1968503937007874" right="0.1968503937007874" top="0.7874015748031497" bottom="0.3937007874015748" header="0.5118110236220472" footer="0.5118110236220472"/>
  <pageSetup horizontalDpi="1200" verticalDpi="1200" orientation="portrait" paperSize="9" scale="85"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dimension ref="A1:AG45"/>
  <sheetViews>
    <sheetView zoomScalePageLayoutView="0" workbookViewId="0" topLeftCell="A1">
      <selection activeCell="J25" sqref="J25"/>
    </sheetView>
  </sheetViews>
  <sheetFormatPr defaultColWidth="9.140625" defaultRowHeight="12.75"/>
  <cols>
    <col min="1" max="1" width="42.57421875" style="111" customWidth="1"/>
    <col min="2" max="13" width="11.00390625" style="111" customWidth="1"/>
    <col min="14" max="16384" width="9.140625" style="111" customWidth="1"/>
  </cols>
  <sheetData>
    <row r="1" spans="1:10" ht="12.75">
      <c r="A1" s="109" t="s">
        <v>69</v>
      </c>
      <c r="B1" s="110"/>
      <c r="C1" s="110"/>
      <c r="D1" s="110"/>
      <c r="E1" s="110"/>
      <c r="F1" s="110"/>
      <c r="G1" s="110"/>
      <c r="H1" s="110"/>
      <c r="I1" s="110"/>
      <c r="J1" s="110"/>
    </row>
    <row r="2" spans="1:13" ht="12.75">
      <c r="A2" s="112" t="s">
        <v>34</v>
      </c>
      <c r="B2" s="112"/>
      <c r="C2" s="112"/>
      <c r="D2" s="112"/>
      <c r="E2" s="112"/>
      <c r="F2" s="112"/>
      <c r="G2" s="112"/>
      <c r="H2" s="112"/>
      <c r="I2" s="112"/>
      <c r="J2" s="112"/>
      <c r="K2" s="112"/>
      <c r="L2" s="112"/>
      <c r="M2" s="112"/>
    </row>
    <row r="3" spans="1:10" ht="12.75">
      <c r="A3" s="110"/>
      <c r="B3" s="110"/>
      <c r="C3" s="110"/>
      <c r="D3" s="110"/>
      <c r="E3" s="110"/>
      <c r="F3" s="110"/>
      <c r="G3" s="110"/>
      <c r="H3" s="110"/>
      <c r="I3" s="110"/>
      <c r="J3" s="110"/>
    </row>
    <row r="4" spans="1:13" ht="12.75">
      <c r="A4" s="113" t="s">
        <v>35</v>
      </c>
      <c r="B4" s="113"/>
      <c r="C4" s="113"/>
      <c r="D4" s="113"/>
      <c r="E4" s="113"/>
      <c r="F4" s="113"/>
      <c r="G4" s="113"/>
      <c r="H4" s="113"/>
      <c r="I4" s="113"/>
      <c r="J4" s="113"/>
      <c r="K4" s="113"/>
      <c r="L4" s="113"/>
      <c r="M4" s="113"/>
    </row>
    <row r="5" spans="1:10" ht="12.75">
      <c r="A5" s="114"/>
      <c r="B5" s="114"/>
      <c r="C5" s="114"/>
      <c r="D5" s="114"/>
      <c r="E5" s="115"/>
      <c r="F5" s="112"/>
      <c r="G5" s="114"/>
      <c r="H5" s="114"/>
      <c r="I5" s="114"/>
      <c r="J5" s="114"/>
    </row>
    <row r="6" spans="1:13" ht="12.75">
      <c r="A6" s="113" t="s">
        <v>74</v>
      </c>
      <c r="B6" s="113"/>
      <c r="C6" s="113"/>
      <c r="D6" s="113"/>
      <c r="E6" s="113"/>
      <c r="F6" s="113"/>
      <c r="G6" s="113"/>
      <c r="H6" s="113"/>
      <c r="I6" s="113"/>
      <c r="J6" s="113"/>
      <c r="K6" s="113"/>
      <c r="L6" s="113"/>
      <c r="M6" s="113"/>
    </row>
    <row r="7" spans="2:10" ht="13.5" thickBot="1">
      <c r="B7" s="101"/>
      <c r="C7" s="101"/>
      <c r="D7" s="101"/>
      <c r="E7" s="101"/>
      <c r="F7" s="101"/>
      <c r="G7" s="101"/>
      <c r="H7" s="101"/>
      <c r="I7" s="101"/>
      <c r="J7" s="101"/>
    </row>
    <row r="8" spans="1:13" ht="12.75">
      <c r="A8" s="116"/>
      <c r="B8" s="117" t="s">
        <v>36</v>
      </c>
      <c r="C8" s="118"/>
      <c r="D8" s="119"/>
      <c r="E8" s="117" t="s">
        <v>37</v>
      </c>
      <c r="F8" s="118"/>
      <c r="G8" s="119"/>
      <c r="H8" s="117" t="s">
        <v>38</v>
      </c>
      <c r="I8" s="118"/>
      <c r="J8" s="119"/>
      <c r="K8" s="120" t="s">
        <v>4</v>
      </c>
      <c r="L8" s="120"/>
      <c r="M8" s="120"/>
    </row>
    <row r="9" spans="1:13" ht="12.75">
      <c r="A9" s="121"/>
      <c r="B9" s="95" t="s">
        <v>5</v>
      </c>
      <c r="C9" s="96" t="s">
        <v>6</v>
      </c>
      <c r="D9" s="96" t="s">
        <v>4</v>
      </c>
      <c r="E9" s="95" t="s">
        <v>5</v>
      </c>
      <c r="F9" s="96" t="s">
        <v>6</v>
      </c>
      <c r="G9" s="96" t="s">
        <v>4</v>
      </c>
      <c r="H9" s="95" t="s">
        <v>5</v>
      </c>
      <c r="I9" s="96" t="s">
        <v>6</v>
      </c>
      <c r="J9" s="122" t="s">
        <v>4</v>
      </c>
      <c r="K9" s="96" t="s">
        <v>5</v>
      </c>
      <c r="L9" s="96" t="s">
        <v>6</v>
      </c>
      <c r="M9" s="96" t="s">
        <v>4</v>
      </c>
    </row>
    <row r="10" spans="1:10" ht="12.75">
      <c r="A10" s="123"/>
      <c r="B10" s="98"/>
      <c r="C10" s="99"/>
      <c r="D10" s="99"/>
      <c r="E10" s="98"/>
      <c r="F10" s="99"/>
      <c r="G10" s="99"/>
      <c r="H10" s="98"/>
      <c r="I10" s="99"/>
      <c r="J10" s="124"/>
    </row>
    <row r="11" spans="1:13" ht="12.75">
      <c r="A11" s="125" t="s">
        <v>39</v>
      </c>
      <c r="B11" s="103">
        <f>797.15-19.35-0</f>
        <v>777.8</v>
      </c>
      <c r="C11" s="104">
        <f>222.3-4.15-0</f>
        <v>218.15</v>
      </c>
      <c r="D11" s="104">
        <f aca="true" t="shared" si="0" ref="D11:D16">SUM(B11:C11)</f>
        <v>995.9499999999999</v>
      </c>
      <c r="E11" s="126">
        <f>191.8</f>
        <v>191.8</v>
      </c>
      <c r="F11" s="127">
        <f>287.55</f>
        <v>287.55</v>
      </c>
      <c r="G11" s="104">
        <f aca="true" t="shared" si="1" ref="G11:G16">SUM(E11:F11)</f>
        <v>479.35</v>
      </c>
      <c r="H11" s="103">
        <f>763.9</f>
        <v>763.9</v>
      </c>
      <c r="I11" s="105">
        <f>850.05</f>
        <v>850.05</v>
      </c>
      <c r="J11" s="106">
        <f aca="true" t="shared" si="2" ref="J11:J16">SUM(H11:I11)</f>
        <v>1613.9499999999998</v>
      </c>
      <c r="K11" s="104">
        <f aca="true" t="shared" si="3" ref="K11:L15">SUM(B11,E11,H11)</f>
        <v>1733.5</v>
      </c>
      <c r="L11" s="104">
        <f t="shared" si="3"/>
        <v>1355.75</v>
      </c>
      <c r="M11" s="104">
        <f aca="true" t="shared" si="4" ref="M11:M16">SUM(K11:L11)</f>
        <v>3089.25</v>
      </c>
    </row>
    <row r="12" spans="1:13" ht="12.75">
      <c r="A12" s="125" t="s">
        <v>40</v>
      </c>
      <c r="B12" s="103">
        <f>653.8-19.05</f>
        <v>634.75</v>
      </c>
      <c r="C12" s="104">
        <f>158.5-4.8</f>
        <v>153.7</v>
      </c>
      <c r="D12" s="104">
        <f t="shared" si="0"/>
        <v>788.45</v>
      </c>
      <c r="E12" s="126">
        <f>407.8</f>
        <v>407.8</v>
      </c>
      <c r="F12" s="127">
        <f>463.5</f>
        <v>463.5</v>
      </c>
      <c r="G12" s="104">
        <f t="shared" si="1"/>
        <v>871.3</v>
      </c>
      <c r="H12" s="103">
        <f>565.95</f>
        <v>565.95</v>
      </c>
      <c r="I12" s="105">
        <f>734.95</f>
        <v>734.95</v>
      </c>
      <c r="J12" s="106">
        <f t="shared" si="2"/>
        <v>1300.9</v>
      </c>
      <c r="K12" s="104">
        <f t="shared" si="3"/>
        <v>1608.5</v>
      </c>
      <c r="L12" s="104">
        <f t="shared" si="3"/>
        <v>1352.15</v>
      </c>
      <c r="M12" s="104">
        <f t="shared" si="4"/>
        <v>2960.65</v>
      </c>
    </row>
    <row r="13" spans="1:13" ht="12.75">
      <c r="A13" s="125" t="s">
        <v>41</v>
      </c>
      <c r="B13" s="103">
        <f>259.05-11-1.8</f>
        <v>246.25</v>
      </c>
      <c r="C13" s="104">
        <f>91.1-3.2-0.5</f>
        <v>87.39999999999999</v>
      </c>
      <c r="D13" s="104">
        <f t="shared" si="0"/>
        <v>333.65</v>
      </c>
      <c r="E13" s="126">
        <f>91.35</f>
        <v>91.35</v>
      </c>
      <c r="F13" s="127">
        <f>81.55</f>
        <v>81.55</v>
      </c>
      <c r="G13" s="104">
        <f t="shared" si="1"/>
        <v>172.89999999999998</v>
      </c>
      <c r="H13" s="103">
        <f>227.2</f>
        <v>227.2</v>
      </c>
      <c r="I13" s="105">
        <f>278.85</f>
        <v>278.85</v>
      </c>
      <c r="J13" s="106">
        <f t="shared" si="2"/>
        <v>506.05</v>
      </c>
      <c r="K13" s="104">
        <f t="shared" si="3"/>
        <v>564.8</v>
      </c>
      <c r="L13" s="104">
        <f t="shared" si="3"/>
        <v>447.8</v>
      </c>
      <c r="M13" s="104">
        <f t="shared" si="4"/>
        <v>1012.5999999999999</v>
      </c>
    </row>
    <row r="14" spans="1:13" ht="12.75">
      <c r="A14" s="125" t="s">
        <v>42</v>
      </c>
      <c r="B14" s="128">
        <f>15.19-0.59</f>
        <v>14.6</v>
      </c>
      <c r="C14" s="104">
        <f>4.74-0.34</f>
        <v>4.4</v>
      </c>
      <c r="D14" s="104">
        <f t="shared" si="0"/>
        <v>19</v>
      </c>
      <c r="E14" s="126">
        <f>2.55</f>
        <v>2.55</v>
      </c>
      <c r="F14" s="127">
        <f>5.8</f>
        <v>5.8</v>
      </c>
      <c r="G14" s="104">
        <f t="shared" si="1"/>
        <v>8.35</v>
      </c>
      <c r="H14" s="103">
        <f>2</f>
        <v>2</v>
      </c>
      <c r="I14" s="105">
        <f>11.6</f>
        <v>11.6</v>
      </c>
      <c r="J14" s="106">
        <f t="shared" si="2"/>
        <v>13.6</v>
      </c>
      <c r="K14" s="104">
        <f>SUM(B14,E14,H14)</f>
        <v>19.15</v>
      </c>
      <c r="L14" s="104">
        <f>SUM(C14,F14,I14)</f>
        <v>21.799999999999997</v>
      </c>
      <c r="M14" s="104">
        <f t="shared" si="4"/>
        <v>40.949999999999996</v>
      </c>
    </row>
    <row r="15" spans="1:13" ht="12.75">
      <c r="A15" s="125" t="s">
        <v>43</v>
      </c>
      <c r="B15" s="128">
        <f>88.95-3.4-0.2</f>
        <v>85.35</v>
      </c>
      <c r="C15" s="104">
        <f>33.3-0.45</f>
        <v>32.849999999999994</v>
      </c>
      <c r="D15" s="104">
        <f t="shared" si="0"/>
        <v>118.19999999999999</v>
      </c>
      <c r="E15" s="126">
        <f>30.26</f>
        <v>30.26</v>
      </c>
      <c r="F15" s="127">
        <f>38.1</f>
        <v>38.1</v>
      </c>
      <c r="G15" s="104">
        <f t="shared" si="1"/>
        <v>68.36</v>
      </c>
      <c r="H15" s="103">
        <f>53.9</f>
        <v>53.9</v>
      </c>
      <c r="I15" s="105">
        <f>82.65</f>
        <v>82.65</v>
      </c>
      <c r="J15" s="106">
        <f t="shared" si="2"/>
        <v>136.55</v>
      </c>
      <c r="K15" s="104">
        <f t="shared" si="3"/>
        <v>169.51</v>
      </c>
      <c r="L15" s="104">
        <f t="shared" si="3"/>
        <v>153.6</v>
      </c>
      <c r="M15" s="104">
        <f t="shared" si="4"/>
        <v>323.11</v>
      </c>
    </row>
    <row r="16" spans="1:13" ht="12.75">
      <c r="A16" s="111" t="s">
        <v>44</v>
      </c>
      <c r="B16" s="103">
        <f>314.37-5.62-3</f>
        <v>305.75</v>
      </c>
      <c r="C16" s="104">
        <f>101.37-2.62</f>
        <v>98.75</v>
      </c>
      <c r="D16" s="104">
        <f t="shared" si="0"/>
        <v>404.5</v>
      </c>
      <c r="E16" s="126">
        <f>102.35</f>
        <v>102.35</v>
      </c>
      <c r="F16" s="127">
        <f>116.8</f>
        <v>116.8</v>
      </c>
      <c r="G16" s="104">
        <f t="shared" si="1"/>
        <v>219.14999999999998</v>
      </c>
      <c r="H16" s="103">
        <f>238.35</f>
        <v>238.35</v>
      </c>
      <c r="I16" s="104">
        <f>329.62</f>
        <v>329.62</v>
      </c>
      <c r="J16" s="106">
        <f t="shared" si="2"/>
        <v>567.97</v>
      </c>
      <c r="K16" s="129">
        <f>SUM(B16,E16,H16)</f>
        <v>646.45</v>
      </c>
      <c r="L16" s="104">
        <f>SUM(C16,F16,I16)</f>
        <v>545.1700000000001</v>
      </c>
      <c r="M16" s="104">
        <f t="shared" si="4"/>
        <v>1191.6200000000001</v>
      </c>
    </row>
    <row r="17" spans="1:33" s="134" customFormat="1" ht="15" customHeight="1">
      <c r="A17" s="130" t="s">
        <v>4</v>
      </c>
      <c r="B17" s="131">
        <f aca="true" t="shared" si="5" ref="B17:M17">SUM(B11:B16)</f>
        <v>2064.5</v>
      </c>
      <c r="C17" s="132">
        <f t="shared" si="5"/>
        <v>595.25</v>
      </c>
      <c r="D17" s="132">
        <f t="shared" si="5"/>
        <v>2659.75</v>
      </c>
      <c r="E17" s="131">
        <f t="shared" si="5"/>
        <v>826.11</v>
      </c>
      <c r="F17" s="132">
        <f t="shared" si="5"/>
        <v>993.2999999999998</v>
      </c>
      <c r="G17" s="133">
        <f t="shared" si="5"/>
        <v>1819.4099999999999</v>
      </c>
      <c r="H17" s="131">
        <f>SUM(H11:H16)</f>
        <v>1851.3</v>
      </c>
      <c r="I17" s="132">
        <f>SUM(I11:I16)</f>
        <v>2287.72</v>
      </c>
      <c r="J17" s="133">
        <f t="shared" si="5"/>
        <v>4139.02</v>
      </c>
      <c r="K17" s="131">
        <f t="shared" si="5"/>
        <v>4741.91</v>
      </c>
      <c r="L17" s="132">
        <f t="shared" si="5"/>
        <v>3876.2700000000004</v>
      </c>
      <c r="M17" s="132">
        <f t="shared" si="5"/>
        <v>8618.18</v>
      </c>
      <c r="O17" s="111"/>
      <c r="T17" s="111"/>
      <c r="U17" s="111"/>
      <c r="V17" s="111"/>
      <c r="W17" s="111"/>
      <c r="X17" s="111"/>
      <c r="Y17" s="111"/>
      <c r="Z17" s="111"/>
      <c r="AA17" s="111"/>
      <c r="AB17" s="111"/>
      <c r="AC17" s="111"/>
      <c r="AD17" s="111"/>
      <c r="AE17" s="111"/>
      <c r="AF17" s="111"/>
      <c r="AG17" s="111"/>
    </row>
    <row r="18" spans="1:33" s="134" customFormat="1" ht="15" customHeight="1">
      <c r="A18" s="130"/>
      <c r="B18" s="135"/>
      <c r="C18" s="135"/>
      <c r="D18" s="135"/>
      <c r="E18" s="135"/>
      <c r="F18" s="135"/>
      <c r="G18" s="135"/>
      <c r="H18" s="135"/>
      <c r="I18" s="135"/>
      <c r="J18" s="135"/>
      <c r="K18" s="135"/>
      <c r="L18" s="135"/>
      <c r="M18" s="135"/>
      <c r="O18" s="111"/>
      <c r="T18" s="111"/>
      <c r="U18" s="111"/>
      <c r="V18" s="111"/>
      <c r="W18" s="111"/>
      <c r="X18" s="111"/>
      <c r="Y18" s="111"/>
      <c r="Z18" s="111"/>
      <c r="AA18" s="111"/>
      <c r="AB18" s="111"/>
      <c r="AC18" s="111"/>
      <c r="AD18" s="111"/>
      <c r="AE18" s="111"/>
      <c r="AF18" s="111"/>
      <c r="AG18" s="111"/>
    </row>
    <row r="19" ht="12.75">
      <c r="A19" s="136" t="s">
        <v>45</v>
      </c>
    </row>
    <row r="20" spans="11:13" ht="12.75">
      <c r="K20" s="104"/>
      <c r="L20" s="104"/>
      <c r="M20" s="104"/>
    </row>
    <row r="22" spans="1:13" ht="12.75">
      <c r="A22" s="113" t="s">
        <v>35</v>
      </c>
      <c r="B22" s="113"/>
      <c r="C22" s="113"/>
      <c r="D22" s="113"/>
      <c r="E22" s="113"/>
      <c r="F22" s="113"/>
      <c r="G22" s="113"/>
      <c r="H22" s="113"/>
      <c r="I22" s="113"/>
      <c r="J22" s="113"/>
      <c r="K22" s="113"/>
      <c r="L22" s="113"/>
      <c r="M22" s="113"/>
    </row>
    <row r="23" spans="1:33" ht="12.75">
      <c r="A23" s="114"/>
      <c r="B23" s="114"/>
      <c r="C23" s="114"/>
      <c r="D23" s="114"/>
      <c r="E23" s="115"/>
      <c r="F23" s="112"/>
      <c r="G23" s="114"/>
      <c r="H23" s="114"/>
      <c r="I23" s="114"/>
      <c r="J23" s="114"/>
      <c r="T23" s="89"/>
      <c r="U23" s="89"/>
      <c r="V23" s="89"/>
      <c r="W23" s="89"/>
      <c r="X23" s="89"/>
      <c r="Y23" s="89"/>
      <c r="Z23" s="89"/>
      <c r="AA23" s="89"/>
      <c r="AB23" s="89"/>
      <c r="AC23" s="89"/>
      <c r="AD23" s="89"/>
      <c r="AE23" s="89"/>
      <c r="AF23" s="89"/>
      <c r="AG23" s="89"/>
    </row>
    <row r="24" spans="1:33" ht="12.75">
      <c r="A24" s="113" t="s">
        <v>46</v>
      </c>
      <c r="B24" s="113"/>
      <c r="C24" s="113"/>
      <c r="D24" s="113"/>
      <c r="E24" s="113"/>
      <c r="F24" s="113"/>
      <c r="G24" s="113"/>
      <c r="H24" s="113"/>
      <c r="I24" s="113"/>
      <c r="J24" s="113"/>
      <c r="K24" s="113"/>
      <c r="L24" s="113"/>
      <c r="M24" s="113"/>
      <c r="T24" s="89"/>
      <c r="U24" s="89"/>
      <c r="V24" s="89"/>
      <c r="W24" s="89"/>
      <c r="X24" s="89"/>
      <c r="Y24" s="89"/>
      <c r="Z24" s="89"/>
      <c r="AA24" s="89"/>
      <c r="AB24" s="89"/>
      <c r="AC24" s="89"/>
      <c r="AD24" s="89"/>
      <c r="AE24" s="89"/>
      <c r="AF24" s="89"/>
      <c r="AG24" s="89"/>
    </row>
    <row r="25" spans="2:33" ht="13.5" thickBot="1">
      <c r="B25" s="101"/>
      <c r="C25" s="101"/>
      <c r="D25" s="101"/>
      <c r="E25" s="101"/>
      <c r="F25" s="101"/>
      <c r="G25" s="101"/>
      <c r="H25" s="101"/>
      <c r="I25" s="101"/>
      <c r="J25" s="101"/>
      <c r="T25" s="89"/>
      <c r="U25" s="89"/>
      <c r="V25" s="89"/>
      <c r="W25" s="89"/>
      <c r="X25" s="89"/>
      <c r="Y25" s="89"/>
      <c r="Z25" s="89"/>
      <c r="AA25" s="89"/>
      <c r="AB25" s="89"/>
      <c r="AC25" s="89"/>
      <c r="AD25" s="89"/>
      <c r="AE25" s="89"/>
      <c r="AF25" s="89"/>
      <c r="AG25" s="89"/>
    </row>
    <row r="26" spans="1:18" s="93" customFormat="1" ht="12.75">
      <c r="A26" s="90"/>
      <c r="B26" s="91">
        <v>2006</v>
      </c>
      <c r="C26" s="92"/>
      <c r="D26" s="92"/>
      <c r="E26" s="91">
        <v>2008</v>
      </c>
      <c r="F26" s="92"/>
      <c r="G26" s="92"/>
      <c r="H26" s="170">
        <v>2010</v>
      </c>
      <c r="I26" s="171"/>
      <c r="J26" s="172"/>
      <c r="K26" s="171">
        <v>2012</v>
      </c>
      <c r="L26" s="171"/>
      <c r="M26" s="171"/>
      <c r="N26" s="134"/>
      <c r="O26" s="134"/>
      <c r="P26" s="134"/>
      <c r="Q26" s="134"/>
      <c r="R26" s="134"/>
    </row>
    <row r="27" spans="1:18" s="84" customFormat="1" ht="12.75">
      <c r="A27" s="94"/>
      <c r="B27" s="95" t="s">
        <v>5</v>
      </c>
      <c r="C27" s="96" t="s">
        <v>6</v>
      </c>
      <c r="D27" s="96" t="s">
        <v>4</v>
      </c>
      <c r="E27" s="95" t="s">
        <v>5</v>
      </c>
      <c r="F27" s="96" t="s">
        <v>6</v>
      </c>
      <c r="G27" s="96" t="s">
        <v>4</v>
      </c>
      <c r="H27" s="95" t="s">
        <v>5</v>
      </c>
      <c r="I27" s="96" t="s">
        <v>6</v>
      </c>
      <c r="J27" s="96" t="s">
        <v>4</v>
      </c>
      <c r="K27" s="95" t="s">
        <v>5</v>
      </c>
      <c r="L27" s="96" t="s">
        <v>6</v>
      </c>
      <c r="M27" s="96" t="s">
        <v>4</v>
      </c>
      <c r="N27" s="111"/>
      <c r="O27" s="111"/>
      <c r="P27" s="111"/>
      <c r="Q27" s="111"/>
      <c r="R27" s="111"/>
    </row>
    <row r="28" spans="1:18" s="84" customFormat="1" ht="12.75">
      <c r="A28" s="97"/>
      <c r="B28" s="98"/>
      <c r="C28" s="99"/>
      <c r="D28" s="99"/>
      <c r="E28" s="98"/>
      <c r="F28" s="99"/>
      <c r="G28" s="99"/>
      <c r="H28" s="98"/>
      <c r="I28" s="99"/>
      <c r="J28" s="99"/>
      <c r="K28" s="98"/>
      <c r="L28" s="99"/>
      <c r="M28" s="99"/>
      <c r="N28" s="111"/>
      <c r="O28" s="111"/>
      <c r="P28" s="111"/>
      <c r="Q28" s="111"/>
      <c r="R28" s="111"/>
    </row>
    <row r="29" spans="1:18" s="84" customFormat="1" ht="12.75">
      <c r="A29" s="137" t="s">
        <v>47</v>
      </c>
      <c r="B29" s="100"/>
      <c r="C29" s="101"/>
      <c r="D29" s="101"/>
      <c r="E29" s="100"/>
      <c r="F29" s="101"/>
      <c r="G29" s="101"/>
      <c r="H29" s="100"/>
      <c r="I29" s="101"/>
      <c r="J29" s="101"/>
      <c r="K29" s="100"/>
      <c r="L29" s="101"/>
      <c r="M29" s="101"/>
      <c r="N29" s="111"/>
      <c r="O29" s="111"/>
      <c r="P29" s="111"/>
      <c r="Q29" s="111"/>
      <c r="R29" s="111"/>
    </row>
    <row r="30" spans="1:18" s="84" customFormat="1" ht="12.75">
      <c r="A30" s="102" t="s">
        <v>48</v>
      </c>
      <c r="B30" s="103">
        <f>824.74+588.3+263.95+333.7+77.6+26.52-8.14-11.05-0.25-8.5-1.1-1.9-0.1-0.25-0.8-0.47</f>
        <v>2082.25</v>
      </c>
      <c r="C30" s="104">
        <f>141.6+120+66.85+74.55+28.85+7.46-2.8-1.9-2.15-0.1-1.3-0.2-0.06</f>
        <v>430.80000000000007</v>
      </c>
      <c r="D30" s="104">
        <f>SUM(B30:C30)</f>
        <v>2513.05</v>
      </c>
      <c r="E30" s="103">
        <v>2068.22</v>
      </c>
      <c r="F30" s="104">
        <v>488.4</v>
      </c>
      <c r="G30" s="104">
        <f>SUM(E30:F30)</f>
        <v>2556.62</v>
      </c>
      <c r="H30" s="103">
        <v>2074.35</v>
      </c>
      <c r="I30" s="104">
        <v>526.65</v>
      </c>
      <c r="J30" s="104">
        <f>SUM(H30:I30)</f>
        <v>2601</v>
      </c>
      <c r="K30" s="103">
        <v>2064.5</v>
      </c>
      <c r="L30" s="104">
        <v>595.25</v>
      </c>
      <c r="M30" s="104">
        <f>SUM(K30:L30)</f>
        <v>2659.75</v>
      </c>
      <c r="N30" s="111"/>
      <c r="O30" s="111"/>
      <c r="P30" s="111"/>
      <c r="Q30" s="111"/>
      <c r="R30" s="111"/>
    </row>
    <row r="31" spans="1:18" s="84" customFormat="1" ht="12.75">
      <c r="A31" s="102" t="s">
        <v>49</v>
      </c>
      <c r="B31" s="103">
        <f>272.7+355.35+119.29+127.2+36.35+8.05</f>
        <v>918.9399999999999</v>
      </c>
      <c r="C31" s="105">
        <f>277.4+339.4+100.9+138.8+29.8+12.55</f>
        <v>898.8499999999999</v>
      </c>
      <c r="D31" s="104">
        <f>SUM(B31:C31)</f>
        <v>1817.79</v>
      </c>
      <c r="E31" s="103">
        <v>831.54</v>
      </c>
      <c r="F31" s="105">
        <v>898.44</v>
      </c>
      <c r="G31" s="104">
        <f>SUM(E31:F31)</f>
        <v>1729.98</v>
      </c>
      <c r="H31" s="103">
        <v>867.71</v>
      </c>
      <c r="I31" s="105">
        <v>1013.08</v>
      </c>
      <c r="J31" s="104">
        <f>SUM(H31:I31)</f>
        <v>1880.79</v>
      </c>
      <c r="K31" s="103">
        <v>826.11</v>
      </c>
      <c r="L31" s="105">
        <v>993.2999999999998</v>
      </c>
      <c r="M31" s="104">
        <f>SUM(K31:L31)</f>
        <v>1819.4099999999999</v>
      </c>
      <c r="N31" s="111"/>
      <c r="O31" s="111"/>
      <c r="P31" s="111"/>
      <c r="Q31" s="111"/>
      <c r="R31" s="111"/>
    </row>
    <row r="32" spans="1:18" s="134" customFormat="1" ht="12.75">
      <c r="A32" s="138" t="s">
        <v>4</v>
      </c>
      <c r="B32" s="131">
        <f>SUM(B30:B31)</f>
        <v>3001.19</v>
      </c>
      <c r="C32" s="132">
        <f>SUM(C30:C31)</f>
        <v>1329.65</v>
      </c>
      <c r="D32" s="132">
        <f>SUM(B32:C32)</f>
        <v>4330.84</v>
      </c>
      <c r="E32" s="131">
        <f>SUM(E30:E31)</f>
        <v>2899.7599999999998</v>
      </c>
      <c r="F32" s="132">
        <f>SUM(F30:F31)</f>
        <v>1386.8400000000001</v>
      </c>
      <c r="G32" s="133">
        <f>SUM(E32:F32)</f>
        <v>4286.6</v>
      </c>
      <c r="H32" s="132">
        <f>SUM(H30:H31)</f>
        <v>2942.06</v>
      </c>
      <c r="I32" s="132">
        <f>SUM(I30:I31)</f>
        <v>1539.73</v>
      </c>
      <c r="J32" s="133">
        <f>SUM(H32:I32)</f>
        <v>4481.79</v>
      </c>
      <c r="K32" s="132">
        <f>SUM(K30:K31)</f>
        <v>2890.61</v>
      </c>
      <c r="L32" s="132">
        <f>SUM(L30:L31)</f>
        <v>1588.5499999999997</v>
      </c>
      <c r="M32" s="132">
        <f>SUM(K32:L32)</f>
        <v>4479.16</v>
      </c>
      <c r="N32" s="111"/>
      <c r="O32" s="111"/>
      <c r="P32" s="111"/>
      <c r="Q32" s="111"/>
      <c r="R32" s="111"/>
    </row>
    <row r="33" spans="1:18" s="84" customFormat="1" ht="9.75" customHeight="1">
      <c r="A33" s="102"/>
      <c r="B33" s="103"/>
      <c r="C33" s="105"/>
      <c r="D33" s="104"/>
      <c r="E33" s="103"/>
      <c r="F33" s="105"/>
      <c r="G33" s="106"/>
      <c r="H33" s="105"/>
      <c r="I33" s="105"/>
      <c r="J33" s="106"/>
      <c r="K33" s="105"/>
      <c r="L33" s="105"/>
      <c r="M33" s="104"/>
      <c r="N33" s="93"/>
      <c r="O33" s="93"/>
      <c r="P33" s="93"/>
      <c r="Q33" s="93"/>
      <c r="R33" s="93"/>
    </row>
    <row r="34" spans="1:13" s="84" customFormat="1" ht="12.75">
      <c r="A34" s="137" t="s">
        <v>38</v>
      </c>
      <c r="B34" s="103">
        <f>719.47+625.3+203.25+251.35+49.1+5.8</f>
        <v>1854.2699999999998</v>
      </c>
      <c r="C34" s="105">
        <f>715.52+646.25+228.65+313.49+51.14+14.6</f>
        <v>1969.65</v>
      </c>
      <c r="D34" s="104">
        <f>SUM(B34:C34)</f>
        <v>3823.92</v>
      </c>
      <c r="E34" s="103">
        <v>1833.39</v>
      </c>
      <c r="F34" s="105">
        <v>2054.55</v>
      </c>
      <c r="G34" s="106">
        <f>SUM(E34:F34)</f>
        <v>3887.9400000000005</v>
      </c>
      <c r="H34" s="105">
        <v>1868.52</v>
      </c>
      <c r="I34" s="105">
        <v>2196.83</v>
      </c>
      <c r="J34" s="106">
        <f>SUM(H34:I34)</f>
        <v>4065.35</v>
      </c>
      <c r="K34" s="105">
        <v>1851.3</v>
      </c>
      <c r="L34" s="105">
        <v>2287.72</v>
      </c>
      <c r="M34" s="104">
        <f>SUM(K34:L34)</f>
        <v>4139.0199999999995</v>
      </c>
    </row>
    <row r="35" spans="1:18" s="134" customFormat="1" ht="12.75">
      <c r="A35" s="139" t="s">
        <v>50</v>
      </c>
      <c r="B35" s="131">
        <f aca="true" t="shared" si="6" ref="B35:J35">SUM(B32+B34)</f>
        <v>4855.46</v>
      </c>
      <c r="C35" s="132">
        <f t="shared" si="6"/>
        <v>3299.3</v>
      </c>
      <c r="D35" s="132">
        <f t="shared" si="6"/>
        <v>8154.76</v>
      </c>
      <c r="E35" s="131">
        <f t="shared" si="6"/>
        <v>4733.15</v>
      </c>
      <c r="F35" s="132">
        <f t="shared" si="6"/>
        <v>3441.3900000000003</v>
      </c>
      <c r="G35" s="133">
        <f t="shared" si="6"/>
        <v>8174.540000000001</v>
      </c>
      <c r="H35" s="132">
        <f t="shared" si="6"/>
        <v>4810.58</v>
      </c>
      <c r="I35" s="132">
        <f t="shared" si="6"/>
        <v>3736.56</v>
      </c>
      <c r="J35" s="133">
        <f t="shared" si="6"/>
        <v>8547.14</v>
      </c>
      <c r="K35" s="132">
        <f>SUM(K32+K34)</f>
        <v>4741.91</v>
      </c>
      <c r="L35" s="132">
        <f>SUM(L32+L34)</f>
        <v>3876.2699999999995</v>
      </c>
      <c r="M35" s="132">
        <f>SUM(M32+M34)</f>
        <v>8618.18</v>
      </c>
      <c r="N35" s="84"/>
      <c r="O35" s="84"/>
      <c r="P35" s="84"/>
      <c r="Q35" s="84"/>
      <c r="R35" s="84"/>
    </row>
    <row r="36" spans="1:13" s="84" customFormat="1" ht="17.25" customHeight="1">
      <c r="A36" s="134" t="s">
        <v>51</v>
      </c>
      <c r="B36" s="103"/>
      <c r="C36" s="107"/>
      <c r="D36" s="108"/>
      <c r="E36" s="104"/>
      <c r="F36" s="107"/>
      <c r="G36" s="108"/>
      <c r="H36" s="104"/>
      <c r="I36" s="107"/>
      <c r="J36" s="108"/>
      <c r="K36" s="104"/>
      <c r="L36" s="107"/>
      <c r="M36" s="107"/>
    </row>
    <row r="37" spans="1:13" s="84" customFormat="1" ht="12" customHeight="1">
      <c r="A37" s="134" t="s">
        <v>52</v>
      </c>
      <c r="B37" s="140">
        <f>42.87+2+12.4+20.3+12.7+2+0.1+0.8</f>
        <v>93.16999999999999</v>
      </c>
      <c r="C37" s="141">
        <f>16+7.6+5.8+4.5+1</f>
        <v>34.900000000000006</v>
      </c>
      <c r="D37" s="142">
        <f>B37+C37</f>
        <v>128.07</v>
      </c>
      <c r="E37" s="141">
        <f>2+98.45</f>
        <v>100.45</v>
      </c>
      <c r="F37" s="141">
        <f>1+39.7</f>
        <v>40.7</v>
      </c>
      <c r="G37" s="142">
        <f>E37+F37</f>
        <v>141.15</v>
      </c>
      <c r="H37" s="141">
        <f>42.75+2+19.45+20.2+1+17.2+1+3</f>
        <v>106.60000000000001</v>
      </c>
      <c r="I37" s="141">
        <f>18.9+12.9+7+0.6+8.5+1</f>
        <v>48.9</v>
      </c>
      <c r="J37" s="142">
        <f>H37+I37</f>
        <v>155.5</v>
      </c>
      <c r="K37" s="141">
        <f>3+1+116.9</f>
        <v>120.9</v>
      </c>
      <c r="L37" s="141">
        <f>1+51.2+0+0</f>
        <v>52.2</v>
      </c>
      <c r="M37" s="141">
        <f>K37+L37</f>
        <v>173.10000000000002</v>
      </c>
    </row>
    <row r="38" s="84" customFormat="1" ht="7.5" customHeight="1">
      <c r="A38" s="143"/>
    </row>
    <row r="39" spans="1:33" ht="12.75">
      <c r="A39" s="111" t="s">
        <v>53</v>
      </c>
      <c r="T39" s="134"/>
      <c r="U39" s="134"/>
      <c r="V39" s="134"/>
      <c r="W39" s="134"/>
      <c r="X39" s="134"/>
      <c r="Y39" s="134"/>
      <c r="Z39" s="134"/>
      <c r="AA39" s="134"/>
      <c r="AB39" s="134"/>
      <c r="AC39" s="134"/>
      <c r="AD39" s="134"/>
      <c r="AE39" s="134"/>
      <c r="AF39" s="134"/>
      <c r="AG39" s="134"/>
    </row>
    <row r="40" spans="20:33" ht="8.25" customHeight="1">
      <c r="T40" s="84"/>
      <c r="U40" s="84"/>
      <c r="V40" s="84"/>
      <c r="W40" s="84"/>
      <c r="X40" s="84"/>
      <c r="Y40" s="84"/>
      <c r="Z40" s="84"/>
      <c r="AA40" s="84"/>
      <c r="AB40" s="84"/>
      <c r="AC40" s="84"/>
      <c r="AD40" s="84"/>
      <c r="AE40" s="84"/>
      <c r="AF40" s="84"/>
      <c r="AG40" s="84"/>
    </row>
    <row r="41" spans="1:33" ht="12.75">
      <c r="A41" s="125" t="s">
        <v>68</v>
      </c>
      <c r="T41" s="84"/>
      <c r="U41" s="84"/>
      <c r="V41" s="84"/>
      <c r="W41" s="84"/>
      <c r="X41" s="84"/>
      <c r="Y41" s="84"/>
      <c r="Z41" s="84"/>
      <c r="AA41" s="84"/>
      <c r="AB41" s="84"/>
      <c r="AC41" s="84"/>
      <c r="AD41" s="84"/>
      <c r="AE41" s="84"/>
      <c r="AF41" s="84"/>
      <c r="AG41" s="84"/>
    </row>
    <row r="42" spans="10:33" ht="12.75">
      <c r="J42" s="104">
        <v>0</v>
      </c>
      <c r="T42" s="134"/>
      <c r="U42" s="134"/>
      <c r="V42" s="134"/>
      <c r="W42" s="134"/>
      <c r="X42" s="134"/>
      <c r="Y42" s="134"/>
      <c r="Z42" s="134"/>
      <c r="AA42" s="134"/>
      <c r="AB42" s="134"/>
      <c r="AC42" s="134"/>
      <c r="AD42" s="134"/>
      <c r="AE42" s="134"/>
      <c r="AF42" s="134"/>
      <c r="AG42" s="134"/>
    </row>
    <row r="43" spans="20:33" ht="12.75">
      <c r="T43" s="84"/>
      <c r="U43" s="84"/>
      <c r="V43" s="84"/>
      <c r="W43" s="84"/>
      <c r="X43" s="84"/>
      <c r="Y43" s="84"/>
      <c r="Z43" s="84"/>
      <c r="AA43" s="84"/>
      <c r="AB43" s="84"/>
      <c r="AC43" s="84"/>
      <c r="AD43" s="84"/>
      <c r="AE43" s="84"/>
      <c r="AF43" s="84"/>
      <c r="AG43" s="84"/>
    </row>
    <row r="44" spans="20:33" ht="12.75">
      <c r="T44" s="84"/>
      <c r="U44" s="84"/>
      <c r="V44" s="84"/>
      <c r="W44" s="84"/>
      <c r="X44" s="84"/>
      <c r="Y44" s="84"/>
      <c r="Z44" s="84"/>
      <c r="AA44" s="84"/>
      <c r="AB44" s="84"/>
      <c r="AC44" s="84"/>
      <c r="AD44" s="84"/>
      <c r="AE44" s="84"/>
      <c r="AF44" s="84"/>
      <c r="AG44" s="84"/>
    </row>
    <row r="45" spans="20:33" ht="12.75">
      <c r="T45" s="84"/>
      <c r="U45" s="84"/>
      <c r="V45" s="84"/>
      <c r="W45" s="84"/>
      <c r="X45" s="84"/>
      <c r="Y45" s="84"/>
      <c r="Z45" s="84"/>
      <c r="AA45" s="84"/>
      <c r="AB45" s="84"/>
      <c r="AC45" s="84"/>
      <c r="AD45" s="84"/>
      <c r="AE45" s="84"/>
      <c r="AF45" s="84"/>
      <c r="AG45" s="84"/>
    </row>
  </sheetData>
  <sheetProtection/>
  <mergeCells count="2">
    <mergeCell ref="H26:J26"/>
    <mergeCell ref="K26:M2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G26"/>
  <sheetViews>
    <sheetView zoomScalePageLayoutView="0" workbookViewId="0" topLeftCell="A1">
      <selection activeCell="C12" sqref="C12"/>
    </sheetView>
  </sheetViews>
  <sheetFormatPr defaultColWidth="9.140625" defaultRowHeight="12.75"/>
  <cols>
    <col min="1" max="1" width="10.8515625" style="84" customWidth="1"/>
    <col min="2" max="16" width="10.140625" style="84" customWidth="1"/>
    <col min="17" max="16384" width="9.140625" style="84" customWidth="1"/>
  </cols>
  <sheetData>
    <row r="1" spans="1:4" s="111" customFormat="1" ht="12.75">
      <c r="A1" s="109" t="s">
        <v>69</v>
      </c>
      <c r="B1" s="110"/>
      <c r="C1" s="110"/>
      <c r="D1" s="110"/>
    </row>
    <row r="2" spans="1:16" s="111" customFormat="1" ht="12.75">
      <c r="A2" s="173" t="s">
        <v>34</v>
      </c>
      <c r="B2" s="173"/>
      <c r="C2" s="173"/>
      <c r="D2" s="173"/>
      <c r="E2" s="173"/>
      <c r="F2" s="173"/>
      <c r="G2" s="173"/>
      <c r="H2" s="173"/>
      <c r="I2" s="173"/>
      <c r="J2" s="173"/>
      <c r="K2" s="173"/>
      <c r="L2" s="173"/>
      <c r="M2" s="173"/>
      <c r="N2" s="173"/>
      <c r="O2" s="173"/>
      <c r="P2" s="173"/>
    </row>
    <row r="3" spans="1:4" s="111" customFormat="1" ht="12.75">
      <c r="A3" s="110"/>
      <c r="B3" s="110"/>
      <c r="C3" s="110"/>
      <c r="D3" s="110"/>
    </row>
    <row r="4" spans="1:16" s="111" customFormat="1" ht="12.75">
      <c r="A4" s="174" t="s">
        <v>35</v>
      </c>
      <c r="B4" s="174"/>
      <c r="C4" s="174"/>
      <c r="D4" s="174"/>
      <c r="E4" s="174"/>
      <c r="F4" s="174"/>
      <c r="G4" s="174"/>
      <c r="H4" s="174"/>
      <c r="I4" s="174"/>
      <c r="J4" s="174"/>
      <c r="K4" s="174"/>
      <c r="L4" s="174"/>
      <c r="M4" s="174"/>
      <c r="N4" s="174"/>
      <c r="O4" s="174"/>
      <c r="P4" s="174"/>
    </row>
    <row r="5" spans="1:4" ht="12.75">
      <c r="A5" s="114"/>
      <c r="B5" s="114"/>
      <c r="C5" s="114"/>
      <c r="D5" s="114"/>
    </row>
    <row r="6" spans="1:16" ht="12.75">
      <c r="A6" s="173" t="s">
        <v>75</v>
      </c>
      <c r="B6" s="173"/>
      <c r="C6" s="173"/>
      <c r="D6" s="173"/>
      <c r="E6" s="173"/>
      <c r="F6" s="173"/>
      <c r="G6" s="173"/>
      <c r="H6" s="173"/>
      <c r="I6" s="173"/>
      <c r="J6" s="173"/>
      <c r="K6" s="173"/>
      <c r="L6" s="173"/>
      <c r="M6" s="173"/>
      <c r="N6" s="173"/>
      <c r="O6" s="173"/>
      <c r="P6" s="173"/>
    </row>
    <row r="7" spans="1:4" ht="13.5" thickBot="1">
      <c r="A7" s="111"/>
      <c r="B7" s="101"/>
      <c r="C7" s="101"/>
      <c r="D7" s="101"/>
    </row>
    <row r="8" spans="1:16" ht="12.75">
      <c r="A8" s="144"/>
      <c r="B8" s="145" t="s">
        <v>54</v>
      </c>
      <c r="C8" s="146"/>
      <c r="D8" s="147"/>
      <c r="E8" s="146" t="s">
        <v>55</v>
      </c>
      <c r="F8" s="146"/>
      <c r="G8" s="146"/>
      <c r="H8" s="145" t="s">
        <v>56</v>
      </c>
      <c r="I8" s="146"/>
      <c r="J8" s="147"/>
      <c r="K8" s="146" t="s">
        <v>4</v>
      </c>
      <c r="L8" s="146"/>
      <c r="M8" s="146"/>
      <c r="N8" s="145" t="s">
        <v>57</v>
      </c>
      <c r="O8" s="146"/>
      <c r="P8" s="146"/>
    </row>
    <row r="9" spans="1:16" ht="12.75">
      <c r="A9" s="85"/>
      <c r="B9" s="148" t="s">
        <v>58</v>
      </c>
      <c r="C9" s="149"/>
      <c r="D9" s="150"/>
      <c r="E9" s="149" t="s">
        <v>58</v>
      </c>
      <c r="F9" s="149"/>
      <c r="G9" s="149"/>
      <c r="H9" s="148" t="s">
        <v>58</v>
      </c>
      <c r="I9" s="149"/>
      <c r="J9" s="150"/>
      <c r="K9" s="151"/>
      <c r="L9" s="151"/>
      <c r="M9" s="151"/>
      <c r="N9" s="148" t="s">
        <v>59</v>
      </c>
      <c r="O9" s="149"/>
      <c r="P9" s="149"/>
    </row>
    <row r="10" spans="1:16" ht="12.75">
      <c r="A10" s="85"/>
      <c r="B10" s="148"/>
      <c r="C10" s="149"/>
      <c r="D10" s="150"/>
      <c r="E10" s="149"/>
      <c r="F10" s="149"/>
      <c r="G10" s="149"/>
      <c r="H10" s="152"/>
      <c r="I10" s="153"/>
      <c r="J10" s="154"/>
      <c r="K10" s="151"/>
      <c r="L10" s="151"/>
      <c r="M10" s="151"/>
      <c r="N10" s="152" t="s">
        <v>60</v>
      </c>
      <c r="O10" s="153"/>
      <c r="P10" s="153"/>
    </row>
    <row r="11" spans="1:16" s="86" customFormat="1" ht="12.75">
      <c r="A11" s="155"/>
      <c r="B11" s="156" t="s">
        <v>5</v>
      </c>
      <c r="C11" s="157" t="s">
        <v>6</v>
      </c>
      <c r="D11" s="158" t="s">
        <v>4</v>
      </c>
      <c r="E11" s="157" t="s">
        <v>5</v>
      </c>
      <c r="F11" s="157" t="s">
        <v>6</v>
      </c>
      <c r="G11" s="157" t="s">
        <v>4</v>
      </c>
      <c r="H11" s="156" t="s">
        <v>5</v>
      </c>
      <c r="I11" s="157" t="s">
        <v>6</v>
      </c>
      <c r="J11" s="158" t="s">
        <v>4</v>
      </c>
      <c r="K11" s="157" t="s">
        <v>5</v>
      </c>
      <c r="L11" s="157" t="s">
        <v>6</v>
      </c>
      <c r="M11" s="157" t="s">
        <v>4</v>
      </c>
      <c r="N11" s="156" t="s">
        <v>5</v>
      </c>
      <c r="O11" s="157" t="s">
        <v>6</v>
      </c>
      <c r="P11" s="157" t="s">
        <v>4</v>
      </c>
    </row>
    <row r="12" spans="2:16" s="86" customFormat="1" ht="12.75">
      <c r="B12" s="159"/>
      <c r="C12" s="160"/>
      <c r="D12" s="161"/>
      <c r="E12" s="160"/>
      <c r="F12" s="160"/>
      <c r="G12" s="160"/>
      <c r="H12" s="159"/>
      <c r="I12" s="160"/>
      <c r="J12" s="161"/>
      <c r="K12" s="160"/>
      <c r="L12" s="160"/>
      <c r="M12" s="160"/>
      <c r="N12" s="159"/>
      <c r="O12" s="160"/>
      <c r="P12" s="160"/>
    </row>
    <row r="13" spans="1:16" s="85" customFormat="1" ht="12.75">
      <c r="A13" s="162" t="s">
        <v>61</v>
      </c>
      <c r="B13" s="163">
        <v>50</v>
      </c>
      <c r="C13" s="164">
        <v>18</v>
      </c>
      <c r="D13" s="165">
        <f aca="true" t="shared" si="0" ref="D13:D21">SUM(B13:C13)</f>
        <v>68</v>
      </c>
      <c r="E13" s="164">
        <f>183+406</f>
        <v>589</v>
      </c>
      <c r="F13" s="164">
        <f>270+558</f>
        <v>828</v>
      </c>
      <c r="G13" s="164">
        <f aca="true" t="shared" si="1" ref="G13:G21">SUM(E13:F13)</f>
        <v>1417</v>
      </c>
      <c r="H13" s="163">
        <f>42+166</f>
        <v>208</v>
      </c>
      <c r="I13" s="164">
        <f>76+285</f>
        <v>361</v>
      </c>
      <c r="J13" s="165">
        <f aca="true" t="shared" si="2" ref="J13:J21">SUM(H13:I13)</f>
        <v>569</v>
      </c>
      <c r="K13" s="164">
        <f aca="true" t="shared" si="3" ref="K13:K21">SUM(B13,E13,H13)</f>
        <v>847</v>
      </c>
      <c r="L13" s="164">
        <f aca="true" t="shared" si="4" ref="L13:L21">SUM(C13,F13,I13)</f>
        <v>1207</v>
      </c>
      <c r="M13" s="164">
        <f aca="true" t="shared" si="5" ref="M13:M21">SUM(K13:L13)</f>
        <v>2054</v>
      </c>
      <c r="N13" s="163">
        <f>0+0+0+0</f>
        <v>0</v>
      </c>
      <c r="O13" s="164">
        <f>0+0+0+0</f>
        <v>0</v>
      </c>
      <c r="P13" s="164">
        <f aca="true" t="shared" si="6" ref="P13:P21">SUM(N13:O13)</f>
        <v>0</v>
      </c>
    </row>
    <row r="14" spans="1:16" ht="12.75">
      <c r="A14" s="162" t="s">
        <v>16</v>
      </c>
      <c r="B14" s="163">
        <v>309</v>
      </c>
      <c r="C14" s="164">
        <v>128</v>
      </c>
      <c r="D14" s="165">
        <f t="shared" si="0"/>
        <v>437</v>
      </c>
      <c r="E14" s="166">
        <f>280</f>
        <v>280</v>
      </c>
      <c r="F14" s="166">
        <f>266</f>
        <v>266</v>
      </c>
      <c r="G14" s="166">
        <f t="shared" si="1"/>
        <v>546</v>
      </c>
      <c r="H14" s="163">
        <f>287</f>
        <v>287</v>
      </c>
      <c r="I14" s="164">
        <f>396</f>
        <v>396</v>
      </c>
      <c r="J14" s="165">
        <f t="shared" si="2"/>
        <v>683</v>
      </c>
      <c r="K14" s="166">
        <f t="shared" si="3"/>
        <v>876</v>
      </c>
      <c r="L14" s="166">
        <f t="shared" si="4"/>
        <v>790</v>
      </c>
      <c r="M14" s="166">
        <f t="shared" si="5"/>
        <v>1666</v>
      </c>
      <c r="N14" s="163">
        <f>1</f>
        <v>1</v>
      </c>
      <c r="O14" s="164">
        <f>0+0</f>
        <v>0</v>
      </c>
      <c r="P14" s="164">
        <f t="shared" si="6"/>
        <v>1</v>
      </c>
    </row>
    <row r="15" spans="1:16" ht="12.75">
      <c r="A15" s="162" t="s">
        <v>17</v>
      </c>
      <c r="B15" s="163">
        <v>434</v>
      </c>
      <c r="C15" s="164">
        <v>225</v>
      </c>
      <c r="D15" s="165">
        <f t="shared" si="0"/>
        <v>659</v>
      </c>
      <c r="E15" s="166">
        <f>480</f>
        <v>480</v>
      </c>
      <c r="F15" s="166">
        <f>400</f>
        <v>400</v>
      </c>
      <c r="G15" s="166">
        <f t="shared" si="1"/>
        <v>880</v>
      </c>
      <c r="H15" s="163">
        <f>278</f>
        <v>278</v>
      </c>
      <c r="I15" s="164">
        <f>399</f>
        <v>399</v>
      </c>
      <c r="J15" s="165">
        <f t="shared" si="2"/>
        <v>677</v>
      </c>
      <c r="K15" s="166">
        <f t="shared" si="3"/>
        <v>1192</v>
      </c>
      <c r="L15" s="166">
        <f t="shared" si="4"/>
        <v>1024</v>
      </c>
      <c r="M15" s="166">
        <f t="shared" si="5"/>
        <v>2216</v>
      </c>
      <c r="N15" s="163">
        <f>6</f>
        <v>6</v>
      </c>
      <c r="O15" s="164">
        <f>10</f>
        <v>10</v>
      </c>
      <c r="P15" s="164">
        <f t="shared" si="6"/>
        <v>16</v>
      </c>
    </row>
    <row r="16" spans="1:16" ht="12.75">
      <c r="A16" s="162" t="s">
        <v>18</v>
      </c>
      <c r="B16" s="163">
        <v>480</v>
      </c>
      <c r="C16" s="164">
        <v>204</v>
      </c>
      <c r="D16" s="165">
        <f t="shared" si="0"/>
        <v>684</v>
      </c>
      <c r="E16" s="166">
        <v>0</v>
      </c>
      <c r="F16" s="166">
        <v>0</v>
      </c>
      <c r="G16" s="166">
        <f t="shared" si="1"/>
        <v>0</v>
      </c>
      <c r="H16" s="163">
        <f>284</f>
        <v>284</v>
      </c>
      <c r="I16" s="164">
        <f>430</f>
        <v>430</v>
      </c>
      <c r="J16" s="165">
        <f t="shared" si="2"/>
        <v>714</v>
      </c>
      <c r="K16" s="166">
        <f t="shared" si="3"/>
        <v>764</v>
      </c>
      <c r="L16" s="166">
        <f t="shared" si="4"/>
        <v>634</v>
      </c>
      <c r="M16" s="166">
        <f t="shared" si="5"/>
        <v>1398</v>
      </c>
      <c r="N16" s="163">
        <f>24</f>
        <v>24</v>
      </c>
      <c r="O16" s="164">
        <f>13</f>
        <v>13</v>
      </c>
      <c r="P16" s="164">
        <f t="shared" si="6"/>
        <v>37</v>
      </c>
    </row>
    <row r="17" spans="1:16" ht="12.75">
      <c r="A17" s="162" t="s">
        <v>19</v>
      </c>
      <c r="B17" s="163">
        <v>581</v>
      </c>
      <c r="C17" s="164">
        <v>187</v>
      </c>
      <c r="D17" s="165">
        <f t="shared" si="0"/>
        <v>768</v>
      </c>
      <c r="E17" s="166">
        <v>0</v>
      </c>
      <c r="F17" s="166">
        <v>0</v>
      </c>
      <c r="G17" s="166">
        <f t="shared" si="1"/>
        <v>0</v>
      </c>
      <c r="H17" s="163">
        <f>309</f>
        <v>309</v>
      </c>
      <c r="I17" s="164">
        <f>413</f>
        <v>413</v>
      </c>
      <c r="J17" s="165">
        <f t="shared" si="2"/>
        <v>722</v>
      </c>
      <c r="K17" s="166">
        <f t="shared" si="3"/>
        <v>890</v>
      </c>
      <c r="L17" s="166">
        <f t="shared" si="4"/>
        <v>600</v>
      </c>
      <c r="M17" s="166">
        <f t="shared" si="5"/>
        <v>1490</v>
      </c>
      <c r="N17" s="163">
        <f>2+30</f>
        <v>32</v>
      </c>
      <c r="O17" s="164">
        <f>17</f>
        <v>17</v>
      </c>
      <c r="P17" s="164">
        <f t="shared" si="6"/>
        <v>49</v>
      </c>
    </row>
    <row r="18" spans="1:16" ht="12.75">
      <c r="A18" s="162" t="s">
        <v>20</v>
      </c>
      <c r="B18" s="163">
        <v>612</v>
      </c>
      <c r="C18" s="164">
        <v>137</v>
      </c>
      <c r="D18" s="165">
        <f t="shared" si="0"/>
        <v>749</v>
      </c>
      <c r="E18" s="166">
        <v>0</v>
      </c>
      <c r="F18" s="166">
        <v>0</v>
      </c>
      <c r="G18" s="166">
        <f t="shared" si="1"/>
        <v>0</v>
      </c>
      <c r="H18" s="163">
        <f>270</f>
        <v>270</v>
      </c>
      <c r="I18" s="164">
        <f>383</f>
        <v>383</v>
      </c>
      <c r="J18" s="165">
        <f t="shared" si="2"/>
        <v>653</v>
      </c>
      <c r="K18" s="166">
        <f t="shared" si="3"/>
        <v>882</v>
      </c>
      <c r="L18" s="166">
        <f t="shared" si="4"/>
        <v>520</v>
      </c>
      <c r="M18" s="166">
        <f t="shared" si="5"/>
        <v>1402</v>
      </c>
      <c r="N18" s="163">
        <f>28</f>
        <v>28</v>
      </c>
      <c r="O18" s="164">
        <f>1+9</f>
        <v>10</v>
      </c>
      <c r="P18" s="164">
        <f t="shared" si="6"/>
        <v>38</v>
      </c>
    </row>
    <row r="19" spans="1:16" ht="12.75">
      <c r="A19" s="162" t="s">
        <v>21</v>
      </c>
      <c r="B19" s="163">
        <v>526</v>
      </c>
      <c r="C19" s="164">
        <v>91</v>
      </c>
      <c r="D19" s="165">
        <f t="shared" si="0"/>
        <v>617</v>
      </c>
      <c r="E19" s="166">
        <v>0</v>
      </c>
      <c r="F19" s="166">
        <v>0</v>
      </c>
      <c r="G19" s="166">
        <f t="shared" si="1"/>
        <v>0</v>
      </c>
      <c r="H19" s="163">
        <f>270</f>
        <v>270</v>
      </c>
      <c r="I19" s="164">
        <f>388</f>
        <v>388</v>
      </c>
      <c r="J19" s="165">
        <f t="shared" si="2"/>
        <v>658</v>
      </c>
      <c r="K19" s="166">
        <f t="shared" si="3"/>
        <v>796</v>
      </c>
      <c r="L19" s="166">
        <f t="shared" si="4"/>
        <v>479</v>
      </c>
      <c r="M19" s="166">
        <f t="shared" si="5"/>
        <v>1275</v>
      </c>
      <c r="N19" s="163">
        <f>1+31</f>
        <v>32</v>
      </c>
      <c r="O19" s="164">
        <f>5</f>
        <v>5</v>
      </c>
      <c r="P19" s="164">
        <f t="shared" si="6"/>
        <v>37</v>
      </c>
    </row>
    <row r="20" spans="1:16" ht="12.75">
      <c r="A20" s="162" t="s">
        <v>62</v>
      </c>
      <c r="B20" s="163">
        <v>409</v>
      </c>
      <c r="C20" s="164">
        <v>54</v>
      </c>
      <c r="D20" s="165">
        <f t="shared" si="0"/>
        <v>463</v>
      </c>
      <c r="E20" s="166">
        <v>0</v>
      </c>
      <c r="F20" s="166">
        <v>0</v>
      </c>
      <c r="G20" s="166">
        <f t="shared" si="1"/>
        <v>0</v>
      </c>
      <c r="H20" s="163">
        <f>107</f>
        <v>107</v>
      </c>
      <c r="I20" s="164">
        <f>90</f>
        <v>90</v>
      </c>
      <c r="J20" s="165">
        <f t="shared" si="2"/>
        <v>197</v>
      </c>
      <c r="K20" s="166">
        <f t="shared" si="3"/>
        <v>516</v>
      </c>
      <c r="L20" s="166">
        <f t="shared" si="4"/>
        <v>144</v>
      </c>
      <c r="M20" s="166">
        <f t="shared" si="5"/>
        <v>660</v>
      </c>
      <c r="N20" s="163">
        <f>1+9</f>
        <v>10</v>
      </c>
      <c r="O20" s="164">
        <f>3</f>
        <v>3</v>
      </c>
      <c r="P20" s="164">
        <f t="shared" si="6"/>
        <v>13</v>
      </c>
    </row>
    <row r="21" spans="1:16" ht="12.75">
      <c r="A21" s="162" t="s">
        <v>63</v>
      </c>
      <c r="B21" s="163">
        <v>6</v>
      </c>
      <c r="C21" s="164">
        <v>1</v>
      </c>
      <c r="D21" s="165">
        <f t="shared" si="0"/>
        <v>7</v>
      </c>
      <c r="E21" s="166">
        <v>0</v>
      </c>
      <c r="F21" s="166">
        <v>0</v>
      </c>
      <c r="G21" s="166">
        <f t="shared" si="1"/>
        <v>0</v>
      </c>
      <c r="H21" s="163">
        <v>1</v>
      </c>
      <c r="I21" s="164"/>
      <c r="J21" s="165">
        <f t="shared" si="2"/>
        <v>1</v>
      </c>
      <c r="K21" s="166">
        <f t="shared" si="3"/>
        <v>7</v>
      </c>
      <c r="L21" s="166">
        <f t="shared" si="4"/>
        <v>1</v>
      </c>
      <c r="M21" s="166">
        <f t="shared" si="5"/>
        <v>8</v>
      </c>
      <c r="N21" s="163">
        <f>0+0</f>
        <v>0</v>
      </c>
      <c r="O21" s="164">
        <f>0+0</f>
        <v>0</v>
      </c>
      <c r="P21" s="164">
        <f t="shared" si="6"/>
        <v>0</v>
      </c>
    </row>
    <row r="22" spans="1:16" s="134" customFormat="1" ht="12.75">
      <c r="A22" s="139" t="s">
        <v>4</v>
      </c>
      <c r="B22" s="167">
        <f aca="true" t="shared" si="7" ref="B22:P22">SUM(B13:B21)</f>
        <v>3407</v>
      </c>
      <c r="C22" s="168">
        <f t="shared" si="7"/>
        <v>1045</v>
      </c>
      <c r="D22" s="169">
        <f t="shared" si="7"/>
        <v>4452</v>
      </c>
      <c r="E22" s="168">
        <f t="shared" si="7"/>
        <v>1349</v>
      </c>
      <c r="F22" s="168">
        <f t="shared" si="7"/>
        <v>1494</v>
      </c>
      <c r="G22" s="168">
        <f t="shared" si="7"/>
        <v>2843</v>
      </c>
      <c r="H22" s="167">
        <f t="shared" si="7"/>
        <v>2014</v>
      </c>
      <c r="I22" s="168">
        <f t="shared" si="7"/>
        <v>2860</v>
      </c>
      <c r="J22" s="169">
        <f t="shared" si="7"/>
        <v>4874</v>
      </c>
      <c r="K22" s="168">
        <f t="shared" si="7"/>
        <v>6770</v>
      </c>
      <c r="L22" s="168">
        <f t="shared" si="7"/>
        <v>5399</v>
      </c>
      <c r="M22" s="168">
        <f t="shared" si="7"/>
        <v>12169</v>
      </c>
      <c r="N22" s="167">
        <f t="shared" si="7"/>
        <v>133</v>
      </c>
      <c r="O22" s="168">
        <f t="shared" si="7"/>
        <v>58</v>
      </c>
      <c r="P22" s="168">
        <f t="shared" si="7"/>
        <v>191</v>
      </c>
    </row>
    <row r="24" spans="1:33" s="111" customFormat="1" ht="12.75">
      <c r="A24" s="111" t="s">
        <v>53</v>
      </c>
      <c r="T24" s="134"/>
      <c r="U24" s="134"/>
      <c r="V24" s="134"/>
      <c r="W24" s="134"/>
      <c r="X24" s="134"/>
      <c r="Y24" s="134"/>
      <c r="Z24" s="134"/>
      <c r="AA24" s="134"/>
      <c r="AB24" s="134"/>
      <c r="AC24" s="134"/>
      <c r="AD24" s="134"/>
      <c r="AE24" s="134"/>
      <c r="AF24" s="134"/>
      <c r="AG24" s="134"/>
    </row>
    <row r="26" ht="12.75">
      <c r="A26" s="125" t="s">
        <v>68</v>
      </c>
    </row>
  </sheetData>
  <sheetProtection/>
  <mergeCells count="3">
    <mergeCell ref="A2:P2"/>
    <mergeCell ref="A4:P4"/>
    <mergeCell ref="A6:P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Unknown</cp:lastModifiedBy>
  <cp:lastPrinted>2013-01-14T12:26:11Z</cp:lastPrinted>
  <dcterms:created xsi:type="dcterms:W3CDTF">1999-11-09T10:41:36Z</dcterms:created>
  <dcterms:modified xsi:type="dcterms:W3CDTF">2013-01-14T14:54:42Z</dcterms:modified>
  <cp:category/>
  <cp:version/>
  <cp:contentType/>
  <cp:contentStatus/>
</cp:coreProperties>
</file>