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3240" windowWidth="6036" windowHeight="3276" activeTab="0"/>
  </bookViews>
  <sheets>
    <sheet name="INHOUD" sheetId="1" r:id="rId1"/>
    <sheet name="12PBAS01" sheetId="2" r:id="rId2"/>
    <sheet name="12PBAS02" sheetId="3" r:id="rId3"/>
    <sheet name="12PBAS03" sheetId="4" r:id="rId4"/>
    <sheet name="12PBAS04" sheetId="5" r:id="rId5"/>
    <sheet name="12PBAS05" sheetId="6" r:id="rId6"/>
    <sheet name="12PBAS06" sheetId="7" r:id="rId7"/>
    <sheet name="12PBAS07" sheetId="8" r:id="rId8"/>
    <sheet name="12PBAS08" sheetId="9" r:id="rId9"/>
  </sheets>
  <definedNames>
    <definedName name="_xlnm.Print_Area" localSheetId="1">'12PBAS01'!$A$1:$J$76</definedName>
    <definedName name="_xlnm.Print_Area" localSheetId="2">'12PBAS02'!$A$1:$J$76</definedName>
    <definedName name="_xlnm.Print_Area" localSheetId="3">'12PBAS03'!$A$1:$J$74</definedName>
    <definedName name="_xlnm.Print_Area" localSheetId="6">'12PBAS06'!$A$1:$J$74</definedName>
  </definedNames>
  <calcPr fullCalcOnLoad="1"/>
</workbook>
</file>

<file path=xl/sharedStrings.xml><?xml version="1.0" encoding="utf-8"?>
<sst xmlns="http://schemas.openxmlformats.org/spreadsheetml/2006/main" count="827" uniqueCount="64">
  <si>
    <t xml:space="preserve"> </t>
  </si>
  <si>
    <t>BESTUURS- EN ONDERWIJZEND PERSONEEL NAAR STATUUT EN GESLACHT</t>
  </si>
  <si>
    <t>BASISONDERWIJS</t>
  </si>
  <si>
    <t>Vastbenoemden</t>
  </si>
  <si>
    <t>Tijdelijken</t>
  </si>
  <si>
    <t>Totaal</t>
  </si>
  <si>
    <t>Mannen</t>
  </si>
  <si>
    <t>Vrouwen</t>
  </si>
  <si>
    <t>Gewoon basisonderwijs</t>
  </si>
  <si>
    <t>Privaatrechtelijk</t>
  </si>
  <si>
    <t>Provincie</t>
  </si>
  <si>
    <t>Gemeente</t>
  </si>
  <si>
    <t>Buitengewoon basisonderwijs</t>
  </si>
  <si>
    <t>Totaal basisonderwijs</t>
  </si>
  <si>
    <t>ANDERE PERSONEELSCATEGORIEËN NAAR STATUUT EN GESLACHT</t>
  </si>
  <si>
    <t>BESTUURS- EN ONDERWIJZEND PERSONEEL NAAR LEEFTIJD, STATUUT EN GESLACHT</t>
  </si>
  <si>
    <t xml:space="preserve">GEWOON BASISONDERWIJS 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</si>
  <si>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</si>
  <si>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</si>
  <si>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</si>
  <si>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</si>
  <si>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</si>
  <si>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</si>
  <si>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</si>
  <si>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</si>
  <si>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</si>
  <si>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</si>
  <si>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 xml:space="preserve">BUITENGEWOON BASISONDERWIJS </t>
  </si>
  <si>
    <t>ANDERE PERSONEELSCATEGORIEËN NAAR LEEFTIJD, STATUUT EN GESLACHT</t>
  </si>
  <si>
    <t>Gemeenschapsonderwijs</t>
  </si>
  <si>
    <t>Gewoon kleuteronderwijs</t>
  </si>
  <si>
    <t>Buitengewoon kleuteronderwijs</t>
  </si>
  <si>
    <t>Totaal kleuteronderwijs</t>
  </si>
  <si>
    <t>Gewoon lager onderwijs</t>
  </si>
  <si>
    <t>Buitengewoon lager onderwijs</t>
  </si>
  <si>
    <t>Totaal lager onderwijs</t>
  </si>
  <si>
    <t>KLEUTERONDERWIJS</t>
  </si>
  <si>
    <t>LAGER ONDERWIJS</t>
  </si>
  <si>
    <t xml:space="preserve">  Gemeenschapsonderwijs</t>
  </si>
  <si>
    <t xml:space="preserve">  Privaatrechtelijk</t>
  </si>
  <si>
    <t xml:space="preserve">  Provincie</t>
  </si>
  <si>
    <t xml:space="preserve">  Gemeente</t>
  </si>
  <si>
    <t>PERSONEEL BASISONDERWIJS</t>
  </si>
  <si>
    <t>Budgettaire fulltime-equivalenten</t>
  </si>
  <si>
    <t>Bestuurs- en onderwijzend personeel naar statuut en geslacht</t>
  </si>
  <si>
    <t>Andere personeelscategorieën naar statuut en geslacht</t>
  </si>
  <si>
    <t>Aantal personen</t>
  </si>
  <si>
    <t>Bestuurs- en onderwijzend personeel naar leeftijd, statuut en geslacht - gewoon basisonderwijs</t>
  </si>
  <si>
    <t>Bestuurs- en onderwijzend personeel naar leeftijd, statuut en geslacht - buitengewoon basisonderwijs</t>
  </si>
  <si>
    <t>Andere personeelscategorieën naar leeftijd, statuut en geslacht - gewoon basisonderwijs</t>
  </si>
  <si>
    <t>Andere personeelscategorieën naar leeftijd, statuut en geslacht - buitengewoon basisonderwijs</t>
  </si>
  <si>
    <t>Schooljaar 2012-2013</t>
  </si>
  <si>
    <t>Aantal budgettaire fulltime-equivalenten (inclusief alle vervangingen, TBS+ en Bonus) - januari 2013</t>
  </si>
  <si>
    <t>Aantal personen (inclusief alle vervangingen, TBS+ en Bonus) - januari 2013</t>
  </si>
  <si>
    <t>Aantal personen (inclusief alle vervangingen, TBS+ en Bonus) -  januari 2013</t>
  </si>
  <si>
    <t>12PBAS01</t>
  </si>
  <si>
    <t>12PBAS02</t>
  </si>
  <si>
    <t>12PBAS03</t>
  </si>
  <si>
    <t>12PBAS04</t>
  </si>
  <si>
    <t>12PBAS05</t>
  </si>
  <si>
    <t>12PBAS06</t>
  </si>
  <si>
    <t>12PBAS07</t>
  </si>
  <si>
    <t>12PBAS08</t>
  </si>
  <si>
    <t>Alle soorten schoolbestuur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</si>
</sst>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#,##0;0;\-"/>
  </numFmts>
  <fonts count="38">
    <font>
      <sz val="10"/>
      <name val="MS Sans Serif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MS Sans Serif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2" fillId="0" borderId="0" xfId="0" applyNumberFormat="1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3" fillId="0" borderId="13" xfId="0" applyNumberFormat="1" applyFont="1" applyBorder="1" applyAlignment="1">
      <alignment/>
    </xf>
    <xf numFmtId="3" fontId="2" fillId="0" borderId="0" xfId="0" applyNumberFormat="1" applyFont="1" applyAlignment="1">
      <alignment horizontal="right"/>
    </xf>
    <xf numFmtId="3" fontId="3" fillId="0" borderId="14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4" fontId="3" fillId="0" borderId="13" xfId="0" applyNumberFormat="1" applyFont="1" applyBorder="1" applyAlignment="1">
      <alignment/>
    </xf>
    <xf numFmtId="164" fontId="3" fillId="0" borderId="0" xfId="0" applyNumberFormat="1" applyFont="1" applyAlignment="1">
      <alignment horizontal="right"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3" fontId="2" fillId="0" borderId="0" xfId="54" applyNumberFormat="1" applyFont="1">
      <alignment/>
      <protection/>
    </xf>
    <xf numFmtId="3" fontId="3" fillId="0" borderId="0" xfId="54" applyNumberFormat="1" applyFont="1">
      <alignment/>
      <protection/>
    </xf>
    <xf numFmtId="0" fontId="3" fillId="0" borderId="0" xfId="54">
      <alignment/>
      <protection/>
    </xf>
    <xf numFmtId="3" fontId="2" fillId="0" borderId="0" xfId="54" applyNumberFormat="1" applyFont="1" applyAlignment="1">
      <alignment horizontal="centerContinuous"/>
      <protection/>
    </xf>
    <xf numFmtId="3" fontId="3" fillId="0" borderId="0" xfId="54" applyNumberFormat="1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 applyAlignment="1">
      <alignment horizontal="centerContinuous"/>
      <protection/>
    </xf>
    <xf numFmtId="3" fontId="3" fillId="0" borderId="10" xfId="54" applyNumberFormat="1" applyFont="1" applyBorder="1" applyAlignment="1">
      <alignment horizontal="center"/>
      <protection/>
    </xf>
    <xf numFmtId="3" fontId="3" fillId="0" borderId="17" xfId="54" applyNumberFormat="1" applyFont="1" applyBorder="1" applyAlignment="1">
      <alignment horizontal="centerContinuous"/>
      <protection/>
    </xf>
    <xf numFmtId="3" fontId="3" fillId="0" borderId="10" xfId="54" applyNumberFormat="1" applyFont="1" applyBorder="1" applyAlignment="1">
      <alignment horizontal="centerContinuous"/>
      <protection/>
    </xf>
    <xf numFmtId="3" fontId="3" fillId="0" borderId="0" xfId="54" applyNumberFormat="1" applyFont="1" applyBorder="1" applyAlignment="1">
      <alignment horizontal="right"/>
      <protection/>
    </xf>
    <xf numFmtId="3" fontId="3" fillId="0" borderId="13" xfId="54" applyNumberFormat="1" applyFont="1" applyBorder="1" applyAlignment="1">
      <alignment horizontal="right"/>
      <protection/>
    </xf>
    <xf numFmtId="164" fontId="3" fillId="0" borderId="13" xfId="54" applyNumberFormat="1" applyFont="1" applyBorder="1">
      <alignment/>
      <protection/>
    </xf>
    <xf numFmtId="164" fontId="3" fillId="0" borderId="0" xfId="54" applyNumberFormat="1" applyFont="1">
      <alignment/>
      <protection/>
    </xf>
    <xf numFmtId="164" fontId="3" fillId="0" borderId="13" xfId="54" applyNumberFormat="1" applyFont="1" applyBorder="1" applyAlignment="1">
      <alignment horizontal="right"/>
      <protection/>
    </xf>
    <xf numFmtId="164" fontId="3" fillId="0" borderId="14" xfId="54" applyNumberFormat="1" applyFont="1" applyBorder="1">
      <alignment/>
      <protection/>
    </xf>
    <xf numFmtId="3" fontId="2" fillId="0" borderId="0" xfId="54" applyNumberFormat="1" applyFont="1" applyAlignment="1">
      <alignment horizontal="right"/>
      <protection/>
    </xf>
    <xf numFmtId="164" fontId="2" fillId="0" borderId="15" xfId="54" applyNumberFormat="1" applyFont="1" applyBorder="1">
      <alignment/>
      <protection/>
    </xf>
    <xf numFmtId="164" fontId="2" fillId="0" borderId="16" xfId="54" applyNumberFormat="1" applyFont="1" applyBorder="1">
      <alignment/>
      <protection/>
    </xf>
    <xf numFmtId="3" fontId="2" fillId="0" borderId="0" xfId="55" applyNumberFormat="1" applyFont="1">
      <alignment/>
      <protection/>
    </xf>
    <xf numFmtId="3" fontId="3" fillId="0" borderId="0" xfId="55" applyNumberFormat="1" applyFont="1">
      <alignment/>
      <protection/>
    </xf>
    <xf numFmtId="0" fontId="3" fillId="0" borderId="0" xfId="55">
      <alignment/>
      <protection/>
    </xf>
    <xf numFmtId="3" fontId="2" fillId="0" borderId="0" xfId="55" applyNumberFormat="1" applyFont="1" applyAlignment="1">
      <alignment horizontal="centerContinuous"/>
      <protection/>
    </xf>
    <xf numFmtId="3" fontId="3" fillId="0" borderId="0" xfId="55" applyNumberFormat="1" applyFont="1" applyAlignment="1">
      <alignment horizontal="centerContinuous"/>
      <protection/>
    </xf>
    <xf numFmtId="0" fontId="3" fillId="0" borderId="0" xfId="55" applyFont="1" applyAlignment="1">
      <alignment horizontal="centerContinuous"/>
      <protection/>
    </xf>
    <xf numFmtId="0" fontId="2" fillId="0" borderId="0" xfId="55" applyFont="1" applyAlignment="1">
      <alignment horizontal="centerContinuous"/>
      <protection/>
    </xf>
    <xf numFmtId="0" fontId="3" fillId="0" borderId="0" xfId="55" applyAlignment="1">
      <alignment horizontal="centerContinuous"/>
      <protection/>
    </xf>
    <xf numFmtId="3" fontId="3" fillId="0" borderId="10" xfId="55" applyNumberFormat="1" applyFont="1" applyBorder="1" applyAlignment="1">
      <alignment horizontal="center"/>
      <protection/>
    </xf>
    <xf numFmtId="3" fontId="3" fillId="0" borderId="17" xfId="55" applyNumberFormat="1" applyFont="1" applyBorder="1" applyAlignment="1">
      <alignment horizontal="centerContinuous"/>
      <protection/>
    </xf>
    <xf numFmtId="3" fontId="3" fillId="0" borderId="10" xfId="55" applyNumberFormat="1" applyFont="1" applyBorder="1" applyAlignment="1">
      <alignment horizontal="centerContinuous"/>
      <protection/>
    </xf>
    <xf numFmtId="3" fontId="3" fillId="0" borderId="18" xfId="55" applyNumberFormat="1" applyFont="1" applyBorder="1" applyAlignment="1">
      <alignment horizontal="centerContinuous"/>
      <protection/>
    </xf>
    <xf numFmtId="3" fontId="3" fillId="0" borderId="19" xfId="55" applyNumberFormat="1" applyFont="1" applyBorder="1" applyAlignment="1">
      <alignment horizontal="centerContinuous"/>
      <protection/>
    </xf>
    <xf numFmtId="3" fontId="3" fillId="0" borderId="0" xfId="55" applyNumberFormat="1" applyFont="1" applyBorder="1" applyAlignment="1">
      <alignment horizontal="right"/>
      <protection/>
    </xf>
    <xf numFmtId="3" fontId="3" fillId="0" borderId="13" xfId="55" applyNumberFormat="1" applyFont="1" applyBorder="1" applyAlignment="1">
      <alignment horizontal="right"/>
      <protection/>
    </xf>
    <xf numFmtId="164" fontId="3" fillId="0" borderId="13" xfId="55" applyNumberFormat="1" applyFont="1" applyBorder="1">
      <alignment/>
      <protection/>
    </xf>
    <xf numFmtId="164" fontId="3" fillId="0" borderId="0" xfId="55" applyNumberFormat="1" applyFont="1">
      <alignment/>
      <protection/>
    </xf>
    <xf numFmtId="164" fontId="3" fillId="0" borderId="13" xfId="55" applyNumberFormat="1" applyFont="1" applyBorder="1" applyAlignment="1">
      <alignment horizontal="right"/>
      <protection/>
    </xf>
    <xf numFmtId="164" fontId="3" fillId="0" borderId="14" xfId="55" applyNumberFormat="1" applyFont="1" applyBorder="1">
      <alignment/>
      <protection/>
    </xf>
    <xf numFmtId="3" fontId="2" fillId="0" borderId="0" xfId="55" applyNumberFormat="1" applyFont="1" applyAlignment="1">
      <alignment horizontal="right"/>
      <protection/>
    </xf>
    <xf numFmtId="164" fontId="2" fillId="0" borderId="15" xfId="55" applyNumberFormat="1" applyFont="1" applyBorder="1">
      <alignment/>
      <protection/>
    </xf>
    <xf numFmtId="164" fontId="2" fillId="0" borderId="16" xfId="55" applyNumberFormat="1" applyFont="1" applyBorder="1">
      <alignment/>
      <protection/>
    </xf>
    <xf numFmtId="3" fontId="2" fillId="0" borderId="0" xfId="56" applyNumberFormat="1" applyFont="1">
      <alignment/>
      <protection/>
    </xf>
    <xf numFmtId="3" fontId="3" fillId="0" borderId="0" xfId="56" applyNumberFormat="1" applyFont="1">
      <alignment/>
      <protection/>
    </xf>
    <xf numFmtId="0" fontId="3" fillId="0" borderId="0" xfId="56">
      <alignment/>
      <protection/>
    </xf>
    <xf numFmtId="3" fontId="2" fillId="0" borderId="0" xfId="56" applyNumberFormat="1" applyFont="1" applyAlignment="1">
      <alignment horizontal="centerContinuous"/>
      <protection/>
    </xf>
    <xf numFmtId="3" fontId="3" fillId="0" borderId="0" xfId="56" applyNumberFormat="1" applyFont="1" applyAlignment="1">
      <alignment horizontal="centerContinuous"/>
      <protection/>
    </xf>
    <xf numFmtId="0" fontId="3" fillId="0" borderId="0" xfId="56" applyFont="1" applyAlignment="1">
      <alignment horizontal="centerContinuous"/>
      <protection/>
    </xf>
    <xf numFmtId="3" fontId="3" fillId="0" borderId="10" xfId="56" applyNumberFormat="1" applyFont="1" applyBorder="1" applyAlignment="1">
      <alignment horizontal="center"/>
      <protection/>
    </xf>
    <xf numFmtId="3" fontId="3" fillId="0" borderId="17" xfId="56" applyNumberFormat="1" applyFont="1" applyBorder="1" applyAlignment="1">
      <alignment horizontal="centerContinuous"/>
      <protection/>
    </xf>
    <xf numFmtId="3" fontId="3" fillId="0" borderId="10" xfId="56" applyNumberFormat="1" applyFont="1" applyBorder="1" applyAlignment="1">
      <alignment horizontal="centerContinuous"/>
      <protection/>
    </xf>
    <xf numFmtId="3" fontId="3" fillId="0" borderId="18" xfId="56" applyNumberFormat="1" applyFont="1" applyBorder="1" applyAlignment="1">
      <alignment horizontal="centerContinuous"/>
      <protection/>
    </xf>
    <xf numFmtId="3" fontId="3" fillId="0" borderId="19" xfId="56" applyNumberFormat="1" applyFont="1" applyBorder="1" applyAlignment="1">
      <alignment horizontal="centerContinuous"/>
      <protection/>
    </xf>
    <xf numFmtId="3" fontId="3" fillId="0" borderId="0" xfId="56" applyNumberFormat="1" applyFont="1" applyBorder="1" applyAlignment="1">
      <alignment horizontal="right"/>
      <protection/>
    </xf>
    <xf numFmtId="3" fontId="3" fillId="0" borderId="13" xfId="56" applyNumberFormat="1" applyFont="1" applyBorder="1" applyAlignment="1">
      <alignment horizontal="right"/>
      <protection/>
    </xf>
    <xf numFmtId="164" fontId="3" fillId="0" borderId="13" xfId="56" applyNumberFormat="1" applyFont="1" applyBorder="1">
      <alignment/>
      <protection/>
    </xf>
    <xf numFmtId="164" fontId="3" fillId="0" borderId="0" xfId="56" applyNumberFormat="1" applyFont="1">
      <alignment/>
      <protection/>
    </xf>
    <xf numFmtId="164" fontId="3" fillId="0" borderId="13" xfId="56" applyNumberFormat="1" applyFont="1" applyBorder="1" applyAlignment="1">
      <alignment horizontal="right"/>
      <protection/>
    </xf>
    <xf numFmtId="164" fontId="3" fillId="0" borderId="14" xfId="56" applyNumberFormat="1" applyFont="1" applyBorder="1">
      <alignment/>
      <protection/>
    </xf>
    <xf numFmtId="3" fontId="2" fillId="0" borderId="0" xfId="56" applyNumberFormat="1" applyFont="1" applyAlignment="1">
      <alignment horizontal="right"/>
      <protection/>
    </xf>
    <xf numFmtId="164" fontId="2" fillId="0" borderId="15" xfId="56" applyNumberFormat="1" applyFont="1" applyBorder="1">
      <alignment/>
      <protection/>
    </xf>
    <xf numFmtId="164" fontId="2" fillId="0" borderId="16" xfId="56" applyNumberFormat="1" applyFont="1" applyBorder="1">
      <alignment/>
      <protection/>
    </xf>
    <xf numFmtId="3" fontId="2" fillId="0" borderId="0" xfId="57" applyNumberFormat="1" applyFont="1">
      <alignment/>
      <protection/>
    </xf>
    <xf numFmtId="3" fontId="3" fillId="0" borderId="0" xfId="57" applyNumberFormat="1" applyFont="1">
      <alignment/>
      <protection/>
    </xf>
    <xf numFmtId="0" fontId="3" fillId="0" borderId="0" xfId="57" applyFont="1">
      <alignment/>
      <protection/>
    </xf>
    <xf numFmtId="3" fontId="2" fillId="0" borderId="0" xfId="57" applyNumberFormat="1" applyFont="1" applyAlignment="1">
      <alignment horizontal="centerContinuous"/>
      <protection/>
    </xf>
    <xf numFmtId="3" fontId="3" fillId="0" borderId="0" xfId="57" applyNumberFormat="1" applyFont="1" applyAlignment="1">
      <alignment horizontal="centerContinuous"/>
      <protection/>
    </xf>
    <xf numFmtId="0" fontId="3" fillId="0" borderId="0" xfId="57" applyFont="1" applyAlignment="1">
      <alignment horizontal="centerContinuous"/>
      <protection/>
    </xf>
    <xf numFmtId="0" fontId="3" fillId="0" borderId="0" xfId="57">
      <alignment/>
      <protection/>
    </xf>
    <xf numFmtId="3" fontId="3" fillId="0" borderId="10" xfId="57" applyNumberFormat="1" applyFont="1" applyBorder="1" applyAlignment="1">
      <alignment horizontal="center"/>
      <protection/>
    </xf>
    <xf numFmtId="3" fontId="3" fillId="0" borderId="17" xfId="57" applyNumberFormat="1" applyFont="1" applyBorder="1" applyAlignment="1">
      <alignment horizontal="centerContinuous"/>
      <protection/>
    </xf>
    <xf numFmtId="3" fontId="3" fillId="0" borderId="10" xfId="57" applyNumberFormat="1" applyFont="1" applyBorder="1" applyAlignment="1">
      <alignment horizontal="centerContinuous"/>
      <protection/>
    </xf>
    <xf numFmtId="3" fontId="3" fillId="0" borderId="18" xfId="57" applyNumberFormat="1" applyFont="1" applyBorder="1" applyAlignment="1">
      <alignment horizontal="centerContinuous"/>
      <protection/>
    </xf>
    <xf numFmtId="3" fontId="3" fillId="0" borderId="19" xfId="57" applyNumberFormat="1" applyFont="1" applyBorder="1" applyAlignment="1">
      <alignment horizontal="centerContinuous"/>
      <protection/>
    </xf>
    <xf numFmtId="3" fontId="3" fillId="0" borderId="0" xfId="57" applyNumberFormat="1" applyFont="1" applyBorder="1" applyAlignment="1">
      <alignment horizontal="right"/>
      <protection/>
    </xf>
    <xf numFmtId="3" fontId="3" fillId="0" borderId="13" xfId="57" applyNumberFormat="1" applyFont="1" applyBorder="1" applyAlignment="1">
      <alignment horizontal="right"/>
      <protection/>
    </xf>
    <xf numFmtId="164" fontId="3" fillId="0" borderId="13" xfId="57" applyNumberFormat="1" applyFont="1" applyBorder="1">
      <alignment/>
      <protection/>
    </xf>
    <xf numFmtId="164" fontId="3" fillId="0" borderId="0" xfId="57" applyNumberFormat="1" applyFont="1">
      <alignment/>
      <protection/>
    </xf>
    <xf numFmtId="164" fontId="3" fillId="0" borderId="13" xfId="57" applyNumberFormat="1" applyFont="1" applyBorder="1" applyAlignment="1">
      <alignment horizontal="right"/>
      <protection/>
    </xf>
    <xf numFmtId="164" fontId="3" fillId="0" borderId="14" xfId="57" applyNumberFormat="1" applyFont="1" applyBorder="1">
      <alignment/>
      <protection/>
    </xf>
    <xf numFmtId="3" fontId="2" fillId="0" borderId="0" xfId="57" applyNumberFormat="1" applyFont="1" applyAlignment="1">
      <alignment horizontal="right"/>
      <protection/>
    </xf>
    <xf numFmtId="164" fontId="2" fillId="0" borderId="15" xfId="57" applyNumberFormat="1" applyFont="1" applyBorder="1">
      <alignment/>
      <protection/>
    </xf>
    <xf numFmtId="164" fontId="2" fillId="0" borderId="16" xfId="57" applyNumberFormat="1" applyFont="1" applyBorder="1">
      <alignment/>
      <protection/>
    </xf>
    <xf numFmtId="3" fontId="3" fillId="0" borderId="20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8" xfId="54" applyNumberFormat="1" applyFont="1" applyBorder="1" applyAlignment="1">
      <alignment horizontal="center"/>
      <protection/>
    </xf>
    <xf numFmtId="3" fontId="3" fillId="0" borderId="19" xfId="54" applyNumberFormat="1" applyFont="1" applyBorder="1" applyAlignment="1">
      <alignment horizontal="center"/>
      <protection/>
    </xf>
    <xf numFmtId="164" fontId="3" fillId="0" borderId="0" xfId="0" applyNumberFormat="1" applyFont="1" applyBorder="1" applyAlignment="1">
      <alignment/>
    </xf>
    <xf numFmtId="164" fontId="3" fillId="0" borderId="20" xfId="0" applyNumberFormat="1" applyFont="1" applyBorder="1" applyAlignment="1">
      <alignment horizontal="right"/>
    </xf>
    <xf numFmtId="164" fontId="3" fillId="0" borderId="2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14" xfId="54" applyNumberFormat="1" applyFont="1" applyBorder="1" applyAlignment="1">
      <alignment horizontal="left"/>
      <protection/>
    </xf>
    <xf numFmtId="3" fontId="3" fillId="0" borderId="14" xfId="55" applyNumberFormat="1" applyFont="1" applyBorder="1" applyAlignment="1">
      <alignment horizontal="left"/>
      <protection/>
    </xf>
    <xf numFmtId="3" fontId="3" fillId="0" borderId="14" xfId="56" applyNumberFormat="1" applyFont="1" applyBorder="1" applyAlignment="1">
      <alignment horizontal="left"/>
      <protection/>
    </xf>
    <xf numFmtId="165" fontId="3" fillId="0" borderId="0" xfId="54" applyNumberFormat="1" applyFont="1" applyBorder="1" applyAlignment="1">
      <alignment horizontal="right"/>
      <protection/>
    </xf>
    <xf numFmtId="164" fontId="3" fillId="0" borderId="0" xfId="54" applyNumberFormat="1" applyFont="1" applyBorder="1">
      <alignment/>
      <protection/>
    </xf>
    <xf numFmtId="164" fontId="3" fillId="0" borderId="20" xfId="54" applyNumberFormat="1" applyFont="1" applyBorder="1">
      <alignment/>
      <protection/>
    </xf>
    <xf numFmtId="3" fontId="3" fillId="0" borderId="14" xfId="57" applyNumberFormat="1" applyFont="1" applyBorder="1" applyAlignment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96PBAS04" xfId="54"/>
    <cellStyle name="Standaard_96PBAS05" xfId="55"/>
    <cellStyle name="Standaard_96PBAS07" xfId="56"/>
    <cellStyle name="Standaard_96PBAS08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P33" sqref="P33"/>
    </sheetView>
  </sheetViews>
  <sheetFormatPr defaultColWidth="9.140625" defaultRowHeight="12.75"/>
  <cols>
    <col min="1" max="1" width="9.140625" style="128" customWidth="1"/>
    <col min="2" max="2" width="3.8515625" style="128" customWidth="1"/>
    <col min="3" max="16384" width="9.140625" style="128" customWidth="1"/>
  </cols>
  <sheetData>
    <row r="1" ht="15">
      <c r="A1" s="129" t="s">
        <v>42</v>
      </c>
    </row>
    <row r="3" ht="12.75">
      <c r="A3" s="127" t="s">
        <v>43</v>
      </c>
    </row>
    <row r="4" spans="1:3" ht="12.75">
      <c r="A4" s="128" t="s">
        <v>55</v>
      </c>
      <c r="C4" s="128" t="s">
        <v>44</v>
      </c>
    </row>
    <row r="5" spans="1:3" ht="12.75">
      <c r="A5" s="128" t="s">
        <v>56</v>
      </c>
      <c r="C5" s="128" t="s">
        <v>45</v>
      </c>
    </row>
    <row r="7" ht="12.75">
      <c r="A7" s="127" t="s">
        <v>46</v>
      </c>
    </row>
    <row r="8" spans="1:3" ht="12.75">
      <c r="A8" s="128" t="s">
        <v>57</v>
      </c>
      <c r="C8" s="128" t="s">
        <v>44</v>
      </c>
    </row>
    <row r="9" spans="1:3" ht="12.75">
      <c r="A9" s="128" t="s">
        <v>58</v>
      </c>
      <c r="C9" s="128" t="s">
        <v>47</v>
      </c>
    </row>
    <row r="10" spans="1:3" ht="12.75">
      <c r="A10" s="128" t="s">
        <v>59</v>
      </c>
      <c r="C10" s="128" t="s">
        <v>48</v>
      </c>
    </row>
    <row r="11" spans="1:3" ht="12.75">
      <c r="A11" s="128" t="s">
        <v>60</v>
      </c>
      <c r="C11" s="128" t="s">
        <v>45</v>
      </c>
    </row>
    <row r="12" spans="1:3" ht="12.75">
      <c r="A12" s="128" t="s">
        <v>61</v>
      </c>
      <c r="C12" s="128" t="s">
        <v>49</v>
      </c>
    </row>
    <row r="13" spans="1:3" ht="12.75">
      <c r="A13" s="128" t="s">
        <v>62</v>
      </c>
      <c r="C13" s="128" t="s">
        <v>50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3.57421875" style="2" customWidth="1"/>
    <col min="2" max="16384" width="9.140625" style="2" customWidth="1"/>
  </cols>
  <sheetData>
    <row r="1" spans="1:4" ht="12.75">
      <c r="A1" s="1" t="s">
        <v>51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52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f>45</f>
        <v>45</v>
      </c>
      <c r="C12" s="16">
        <f>1808</f>
        <v>1808</v>
      </c>
      <c r="D12" s="16">
        <f>SUM(B12:C12)</f>
        <v>1853</v>
      </c>
      <c r="E12" s="17">
        <f>58</f>
        <v>58</v>
      </c>
      <c r="F12" s="16">
        <f>800</f>
        <v>800</v>
      </c>
      <c r="G12" s="16">
        <f>SUM(E12:F12)</f>
        <v>858</v>
      </c>
      <c r="H12" s="17">
        <f aca="true" t="shared" si="0" ref="H12:I15">SUM(B12,E12)</f>
        <v>103</v>
      </c>
      <c r="I12" s="16">
        <f t="shared" si="0"/>
        <v>2608</v>
      </c>
      <c r="J12" s="16">
        <f>SUM(H12:I12)</f>
        <v>2711</v>
      </c>
    </row>
    <row r="13" spans="1:10" ht="12.75">
      <c r="A13" s="2" t="s">
        <v>39</v>
      </c>
      <c r="B13" s="15">
        <f>165</f>
        <v>165</v>
      </c>
      <c r="C13" s="16">
        <f>7527</f>
        <v>7527</v>
      </c>
      <c r="D13" s="16">
        <f>SUM(B13:C13)</f>
        <v>7692</v>
      </c>
      <c r="E13" s="17">
        <f>143</f>
        <v>143</v>
      </c>
      <c r="F13" s="16">
        <f>3195</f>
        <v>3195</v>
      </c>
      <c r="G13" s="16">
        <f>SUM(E13:F13)</f>
        <v>3338</v>
      </c>
      <c r="H13" s="17">
        <f t="shared" si="0"/>
        <v>308</v>
      </c>
      <c r="I13" s="16">
        <f t="shared" si="0"/>
        <v>10722</v>
      </c>
      <c r="J13" s="16">
        <f>SUM(H13:I13)</f>
        <v>11030</v>
      </c>
    </row>
    <row r="14" spans="1:10" ht="12.75">
      <c r="A14" s="2" t="s">
        <v>40</v>
      </c>
      <c r="B14" s="15">
        <f>0</f>
        <v>0</v>
      </c>
      <c r="C14" s="18">
        <f>8</f>
        <v>8</v>
      </c>
      <c r="D14" s="16">
        <f>SUM(B14:C14)</f>
        <v>8</v>
      </c>
      <c r="E14" s="15">
        <f>0</f>
        <v>0</v>
      </c>
      <c r="F14" s="16">
        <f>3</f>
        <v>3</v>
      </c>
      <c r="G14" s="16">
        <f>SUM(E14:F14)</f>
        <v>3</v>
      </c>
      <c r="H14" s="17">
        <f t="shared" si="0"/>
        <v>0</v>
      </c>
      <c r="I14" s="16">
        <f t="shared" si="0"/>
        <v>11</v>
      </c>
      <c r="J14" s="16">
        <f>SUM(H14:I14)</f>
        <v>11</v>
      </c>
    </row>
    <row r="15" spans="1:10" ht="12.75">
      <c r="A15" s="2" t="s">
        <v>41</v>
      </c>
      <c r="B15" s="17">
        <f>76</f>
        <v>76</v>
      </c>
      <c r="C15" s="16">
        <f>2895</f>
        <v>2895</v>
      </c>
      <c r="D15" s="16">
        <f>SUM(B15:C15)</f>
        <v>2971</v>
      </c>
      <c r="E15" s="17">
        <f>62</f>
        <v>62</v>
      </c>
      <c r="F15" s="16">
        <f>1253</f>
        <v>1253</v>
      </c>
      <c r="G15" s="16">
        <f>SUM(E15:F15)</f>
        <v>1315</v>
      </c>
      <c r="H15" s="17">
        <f t="shared" si="0"/>
        <v>138</v>
      </c>
      <c r="I15" s="16">
        <f t="shared" si="0"/>
        <v>4148</v>
      </c>
      <c r="J15" s="16">
        <f>SUM(H15:I15)</f>
        <v>4286</v>
      </c>
    </row>
    <row r="16" spans="1:10" s="1" customFormat="1" ht="12.75">
      <c r="A16" s="13" t="s">
        <v>5</v>
      </c>
      <c r="B16" s="19">
        <f>SUM(B12:B15)</f>
        <v>286</v>
      </c>
      <c r="C16" s="20">
        <f aca="true" t="shared" si="1" ref="C16:J16">SUM(C12:C15)</f>
        <v>12238</v>
      </c>
      <c r="D16" s="20">
        <f t="shared" si="1"/>
        <v>12524</v>
      </c>
      <c r="E16" s="19">
        <f t="shared" si="1"/>
        <v>263</v>
      </c>
      <c r="F16" s="20">
        <f t="shared" si="1"/>
        <v>5251</v>
      </c>
      <c r="G16" s="20">
        <f t="shared" si="1"/>
        <v>5514</v>
      </c>
      <c r="H16" s="19">
        <f t="shared" si="1"/>
        <v>549</v>
      </c>
      <c r="I16" s="20">
        <f t="shared" si="1"/>
        <v>17489</v>
      </c>
      <c r="J16" s="20">
        <f t="shared" si="1"/>
        <v>18038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f>0</f>
        <v>0</v>
      </c>
      <c r="C19" s="16">
        <f>99</f>
        <v>99</v>
      </c>
      <c r="D19" s="16">
        <f>SUM(B19:C19)</f>
        <v>99</v>
      </c>
      <c r="E19" s="17">
        <f>1</f>
        <v>1</v>
      </c>
      <c r="F19" s="16">
        <f>40</f>
        <v>40</v>
      </c>
      <c r="G19" s="16">
        <f>SUM(E19:F19)</f>
        <v>41</v>
      </c>
      <c r="H19" s="17">
        <f aca="true" t="shared" si="2" ref="H19:I22">SUM(B19,E19)</f>
        <v>1</v>
      </c>
      <c r="I19" s="16">
        <f t="shared" si="2"/>
        <v>139</v>
      </c>
      <c r="J19" s="16">
        <f>SUM(H19:I19)</f>
        <v>140</v>
      </c>
    </row>
    <row r="20" spans="1:10" ht="12.75">
      <c r="A20" s="2" t="s">
        <v>39</v>
      </c>
      <c r="B20" s="15">
        <f>9</f>
        <v>9</v>
      </c>
      <c r="C20" s="18">
        <f>237</f>
        <v>237</v>
      </c>
      <c r="D20" s="16">
        <f>SUM(B20:C20)</f>
        <v>246</v>
      </c>
      <c r="E20" s="17">
        <f>5</f>
        <v>5</v>
      </c>
      <c r="F20" s="16">
        <f>78</f>
        <v>78</v>
      </c>
      <c r="G20" s="16">
        <f>SUM(E20:F20)</f>
        <v>83</v>
      </c>
      <c r="H20" s="17">
        <f t="shared" si="2"/>
        <v>14</v>
      </c>
      <c r="I20" s="16">
        <f t="shared" si="2"/>
        <v>315</v>
      </c>
      <c r="J20" s="16">
        <f>SUM(H20:I20)</f>
        <v>329</v>
      </c>
    </row>
    <row r="21" spans="1:10" ht="12.75">
      <c r="A21" s="2" t="s">
        <v>40</v>
      </c>
      <c r="B21" s="15">
        <f>0</f>
        <v>0</v>
      </c>
      <c r="C21" s="21">
        <f>0</f>
        <v>0</v>
      </c>
      <c r="D21" s="16">
        <f>SUM(B21:C21)</f>
        <v>0</v>
      </c>
      <c r="E21" s="17">
        <f>0</f>
        <v>0</v>
      </c>
      <c r="F21" s="21">
        <f>0</f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f>0</f>
        <v>0</v>
      </c>
      <c r="C22" s="18">
        <f>34</f>
        <v>34</v>
      </c>
      <c r="D22" s="16">
        <f>SUM(B22:C22)</f>
        <v>34</v>
      </c>
      <c r="E22" s="17">
        <f>1</f>
        <v>1</v>
      </c>
      <c r="F22" s="16">
        <f>13</f>
        <v>13</v>
      </c>
      <c r="G22" s="16">
        <f>SUM(E22:F22)</f>
        <v>14</v>
      </c>
      <c r="H22" s="17">
        <f t="shared" si="2"/>
        <v>1</v>
      </c>
      <c r="I22" s="16">
        <f t="shared" si="2"/>
        <v>47</v>
      </c>
      <c r="J22" s="16">
        <f>SUM(H22:I22)</f>
        <v>48</v>
      </c>
    </row>
    <row r="23" spans="1:10" s="1" customFormat="1" ht="12.75">
      <c r="A23" s="13" t="s">
        <v>5</v>
      </c>
      <c r="B23" s="22">
        <f aca="true" t="shared" si="3" ref="B23:J23">SUM(B19:B22)</f>
        <v>9</v>
      </c>
      <c r="C23" s="20">
        <f t="shared" si="3"/>
        <v>370</v>
      </c>
      <c r="D23" s="20">
        <f t="shared" si="3"/>
        <v>379</v>
      </c>
      <c r="E23" s="19">
        <f t="shared" si="3"/>
        <v>7</v>
      </c>
      <c r="F23" s="20">
        <f t="shared" si="3"/>
        <v>131</v>
      </c>
      <c r="G23" s="20">
        <f t="shared" si="3"/>
        <v>138</v>
      </c>
      <c r="H23" s="19">
        <f t="shared" si="3"/>
        <v>16</v>
      </c>
      <c r="I23" s="20">
        <f t="shared" si="3"/>
        <v>501</v>
      </c>
      <c r="J23" s="20">
        <f t="shared" si="3"/>
        <v>517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45</v>
      </c>
      <c r="C26" s="16">
        <f t="shared" si="4"/>
        <v>1907</v>
      </c>
      <c r="D26" s="16">
        <f>SUM(B26:C26)</f>
        <v>1952</v>
      </c>
      <c r="E26" s="17">
        <f aca="true" t="shared" si="5" ref="E26:F29">SUM(E12,E19)</f>
        <v>59</v>
      </c>
      <c r="F26" s="16">
        <f t="shared" si="5"/>
        <v>840</v>
      </c>
      <c r="G26" s="16">
        <f>SUM(E26:F26)</f>
        <v>899</v>
      </c>
      <c r="H26" s="17">
        <f aca="true" t="shared" si="6" ref="H26:I29">SUM(B26,E26)</f>
        <v>104</v>
      </c>
      <c r="I26" s="16">
        <f t="shared" si="6"/>
        <v>2747</v>
      </c>
      <c r="J26" s="16">
        <f>SUM(H26:I26)</f>
        <v>2851</v>
      </c>
    </row>
    <row r="27" spans="1:10" ht="12.75">
      <c r="A27" s="2" t="s">
        <v>39</v>
      </c>
      <c r="B27" s="17">
        <f t="shared" si="4"/>
        <v>174</v>
      </c>
      <c r="C27" s="16">
        <f t="shared" si="4"/>
        <v>7764</v>
      </c>
      <c r="D27" s="16">
        <f>SUM(B27:C27)</f>
        <v>7938</v>
      </c>
      <c r="E27" s="17">
        <f t="shared" si="5"/>
        <v>148</v>
      </c>
      <c r="F27" s="16">
        <f t="shared" si="5"/>
        <v>3273</v>
      </c>
      <c r="G27" s="16">
        <f>SUM(E27:F27)</f>
        <v>3421</v>
      </c>
      <c r="H27" s="17">
        <f t="shared" si="6"/>
        <v>322</v>
      </c>
      <c r="I27" s="16">
        <f t="shared" si="6"/>
        <v>11037</v>
      </c>
      <c r="J27" s="16">
        <f>SUM(H27:I27)</f>
        <v>11359</v>
      </c>
    </row>
    <row r="28" spans="1:10" ht="12.75">
      <c r="A28" s="2" t="s">
        <v>40</v>
      </c>
      <c r="B28" s="17">
        <f t="shared" si="4"/>
        <v>0</v>
      </c>
      <c r="C28" s="16">
        <f t="shared" si="4"/>
        <v>8</v>
      </c>
      <c r="D28" s="16">
        <f>SUM(B28:C28)</f>
        <v>8</v>
      </c>
      <c r="E28" s="17">
        <f t="shared" si="5"/>
        <v>0</v>
      </c>
      <c r="F28" s="16">
        <f t="shared" si="5"/>
        <v>3</v>
      </c>
      <c r="G28" s="16">
        <f>SUM(E28:F28)</f>
        <v>3</v>
      </c>
      <c r="H28" s="17">
        <f t="shared" si="6"/>
        <v>0</v>
      </c>
      <c r="I28" s="16">
        <f t="shared" si="6"/>
        <v>11</v>
      </c>
      <c r="J28" s="16">
        <f>SUM(H28:I28)</f>
        <v>11</v>
      </c>
    </row>
    <row r="29" spans="1:10" ht="12.75">
      <c r="A29" s="2" t="s">
        <v>41</v>
      </c>
      <c r="B29" s="17">
        <f t="shared" si="4"/>
        <v>76</v>
      </c>
      <c r="C29" s="16">
        <f t="shared" si="4"/>
        <v>2929</v>
      </c>
      <c r="D29" s="16">
        <f>SUM(B29:C29)</f>
        <v>3005</v>
      </c>
      <c r="E29" s="17">
        <f t="shared" si="5"/>
        <v>63</v>
      </c>
      <c r="F29" s="16">
        <f t="shared" si="5"/>
        <v>1266</v>
      </c>
      <c r="G29" s="16">
        <f>SUM(E29:F29)</f>
        <v>1329</v>
      </c>
      <c r="H29" s="17">
        <f t="shared" si="6"/>
        <v>139</v>
      </c>
      <c r="I29" s="16">
        <f t="shared" si="6"/>
        <v>4195</v>
      </c>
      <c r="J29" s="16">
        <f>SUM(H29:I29)</f>
        <v>4334</v>
      </c>
    </row>
    <row r="30" spans="1:10" s="1" customFormat="1" ht="12.75">
      <c r="A30" s="13" t="s">
        <v>5</v>
      </c>
      <c r="B30" s="19">
        <f aca="true" t="shared" si="7" ref="B30:J30">SUM(B26:B29)</f>
        <v>295</v>
      </c>
      <c r="C30" s="20">
        <f t="shared" si="7"/>
        <v>12608</v>
      </c>
      <c r="D30" s="20">
        <f>SUM(B30:C30)</f>
        <v>12903</v>
      </c>
      <c r="E30" s="19">
        <f t="shared" si="7"/>
        <v>270</v>
      </c>
      <c r="F30" s="20">
        <f t="shared" si="7"/>
        <v>5382</v>
      </c>
      <c r="G30" s="20">
        <f>SUM(E30:F30)</f>
        <v>5652</v>
      </c>
      <c r="H30" s="19">
        <f t="shared" si="7"/>
        <v>565</v>
      </c>
      <c r="I30" s="20">
        <f t="shared" si="7"/>
        <v>17990</v>
      </c>
      <c r="J30" s="20">
        <f t="shared" si="7"/>
        <v>18555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f>607</f>
        <v>607</v>
      </c>
      <c r="C34" s="16">
        <f>2843</f>
        <v>2843</v>
      </c>
      <c r="D34" s="16">
        <f>SUM(B34:C34)</f>
        <v>3450</v>
      </c>
      <c r="E34" s="17">
        <f>265</f>
        <v>265</v>
      </c>
      <c r="F34" s="16">
        <f>1127</f>
        <v>1127</v>
      </c>
      <c r="G34" s="16">
        <f>SUM(E34:F34)</f>
        <v>1392</v>
      </c>
      <c r="H34" s="17">
        <f aca="true" t="shared" si="8" ref="H34:I37">SUM(B34,E34)</f>
        <v>872</v>
      </c>
      <c r="I34" s="16">
        <f t="shared" si="8"/>
        <v>3970</v>
      </c>
      <c r="J34" s="16">
        <f>SUM(H34:I34)</f>
        <v>4842</v>
      </c>
    </row>
    <row r="35" spans="1:10" ht="12.75">
      <c r="A35" s="2" t="s">
        <v>39</v>
      </c>
      <c r="B35" s="15">
        <f>3452</f>
        <v>3452</v>
      </c>
      <c r="C35" s="16">
        <f>10724</f>
        <v>10724</v>
      </c>
      <c r="D35" s="16">
        <f>SUM(B35:C35)</f>
        <v>14176</v>
      </c>
      <c r="E35" s="17">
        <f>719</f>
        <v>719</v>
      </c>
      <c r="F35" s="16">
        <f>3796</f>
        <v>3796</v>
      </c>
      <c r="G35" s="16">
        <f>SUM(E35:F35)</f>
        <v>4515</v>
      </c>
      <c r="H35" s="17">
        <f t="shared" si="8"/>
        <v>4171</v>
      </c>
      <c r="I35" s="16">
        <f t="shared" si="8"/>
        <v>14520</v>
      </c>
      <c r="J35" s="16">
        <f>SUM(H35:I35)</f>
        <v>18691</v>
      </c>
    </row>
    <row r="36" spans="1:10" ht="12.75">
      <c r="A36" s="2" t="s">
        <v>40</v>
      </c>
      <c r="B36" s="15">
        <f>4</f>
        <v>4</v>
      </c>
      <c r="C36" s="18">
        <f>9</f>
        <v>9</v>
      </c>
      <c r="D36" s="16">
        <f>SUM(B36:C36)</f>
        <v>13</v>
      </c>
      <c r="E36" s="15">
        <f>0</f>
        <v>0</v>
      </c>
      <c r="F36" s="16">
        <f>4</f>
        <v>4</v>
      </c>
      <c r="G36" s="16">
        <f>SUM(E36:F36)</f>
        <v>4</v>
      </c>
      <c r="H36" s="17">
        <f t="shared" si="8"/>
        <v>4</v>
      </c>
      <c r="I36" s="16">
        <f t="shared" si="8"/>
        <v>13</v>
      </c>
      <c r="J36" s="16">
        <f>SUM(H36:I36)</f>
        <v>17</v>
      </c>
    </row>
    <row r="37" spans="1:10" ht="12.75">
      <c r="A37" s="2" t="s">
        <v>41</v>
      </c>
      <c r="B37" s="17">
        <f>1253</f>
        <v>1253</v>
      </c>
      <c r="C37" s="16">
        <f>4288</f>
        <v>4288</v>
      </c>
      <c r="D37" s="16">
        <f>SUM(B37:C37)</f>
        <v>5541</v>
      </c>
      <c r="E37" s="17">
        <f>329</f>
        <v>329</v>
      </c>
      <c r="F37" s="16">
        <f>1675</f>
        <v>1675</v>
      </c>
      <c r="G37" s="16">
        <f>SUM(E37:F37)</f>
        <v>2004</v>
      </c>
      <c r="H37" s="17">
        <f t="shared" si="8"/>
        <v>1582</v>
      </c>
      <c r="I37" s="16">
        <f t="shared" si="8"/>
        <v>5963</v>
      </c>
      <c r="J37" s="16">
        <f>SUM(H37:I37)</f>
        <v>7545</v>
      </c>
    </row>
    <row r="38" spans="1:10" s="1" customFormat="1" ht="12.75">
      <c r="A38" s="13" t="s">
        <v>5</v>
      </c>
      <c r="B38" s="19">
        <f aca="true" t="shared" si="9" ref="B38:J38">SUM(B34:B37)</f>
        <v>5316</v>
      </c>
      <c r="C38" s="20">
        <f t="shared" si="9"/>
        <v>17864</v>
      </c>
      <c r="D38" s="20">
        <f t="shared" si="9"/>
        <v>23180</v>
      </c>
      <c r="E38" s="19">
        <f t="shared" si="9"/>
        <v>1313</v>
      </c>
      <c r="F38" s="20">
        <f t="shared" si="9"/>
        <v>6602</v>
      </c>
      <c r="G38" s="20">
        <f t="shared" si="9"/>
        <v>7915</v>
      </c>
      <c r="H38" s="19">
        <f t="shared" si="9"/>
        <v>6629</v>
      </c>
      <c r="I38" s="20">
        <f t="shared" si="9"/>
        <v>24466</v>
      </c>
      <c r="J38" s="20">
        <f t="shared" si="9"/>
        <v>31095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f>197</f>
        <v>197</v>
      </c>
      <c r="C41" s="16">
        <f>860</f>
        <v>860</v>
      </c>
      <c r="D41" s="16">
        <f>SUM(B41:C41)</f>
        <v>1057</v>
      </c>
      <c r="E41" s="17">
        <f>65</f>
        <v>65</v>
      </c>
      <c r="F41" s="16">
        <f>308</f>
        <v>308</v>
      </c>
      <c r="G41" s="16">
        <f>SUM(E41:F41)</f>
        <v>373</v>
      </c>
      <c r="H41" s="17">
        <f aca="true" t="shared" si="10" ref="H41:I44">SUM(B41,E41)</f>
        <v>262</v>
      </c>
      <c r="I41" s="16">
        <f t="shared" si="10"/>
        <v>1168</v>
      </c>
      <c r="J41" s="16">
        <f>SUM(H41:I41)</f>
        <v>1430</v>
      </c>
    </row>
    <row r="42" spans="1:10" ht="12.75">
      <c r="A42" s="2" t="s">
        <v>39</v>
      </c>
      <c r="B42" s="15">
        <f>555</f>
        <v>555</v>
      </c>
      <c r="C42" s="18">
        <f>2047</f>
        <v>2047</v>
      </c>
      <c r="D42" s="16">
        <f>SUM(B42:C42)</f>
        <v>2602</v>
      </c>
      <c r="E42" s="17">
        <f>121</f>
        <v>121</v>
      </c>
      <c r="F42" s="16">
        <f>674</f>
        <v>674</v>
      </c>
      <c r="G42" s="16">
        <f>SUM(E42:F42)</f>
        <v>795</v>
      </c>
      <c r="H42" s="17">
        <f t="shared" si="10"/>
        <v>676</v>
      </c>
      <c r="I42" s="16">
        <f t="shared" si="10"/>
        <v>2721</v>
      </c>
      <c r="J42" s="16">
        <f>SUM(H42:I42)</f>
        <v>3397</v>
      </c>
    </row>
    <row r="43" spans="1:10" ht="12.75">
      <c r="A43" s="2" t="s">
        <v>40</v>
      </c>
      <c r="B43" s="15">
        <f>16</f>
        <v>16</v>
      </c>
      <c r="C43" s="21">
        <f>75</f>
        <v>75</v>
      </c>
      <c r="D43" s="16">
        <f>SUM(B43:C43)</f>
        <v>91</v>
      </c>
      <c r="E43" s="17">
        <f>2</f>
        <v>2</v>
      </c>
      <c r="F43" s="21">
        <f>18</f>
        <v>18</v>
      </c>
      <c r="G43" s="16">
        <f>SUM(E43:F43)</f>
        <v>20</v>
      </c>
      <c r="H43" s="17">
        <f t="shared" si="10"/>
        <v>18</v>
      </c>
      <c r="I43" s="16">
        <f t="shared" si="10"/>
        <v>93</v>
      </c>
      <c r="J43" s="16">
        <f>SUM(H43:I43)</f>
        <v>111</v>
      </c>
    </row>
    <row r="44" spans="1:10" ht="12.75">
      <c r="A44" s="2" t="s">
        <v>41</v>
      </c>
      <c r="B44" s="15">
        <f>93</f>
        <v>93</v>
      </c>
      <c r="C44" s="18">
        <f>489</f>
        <v>489</v>
      </c>
      <c r="D44" s="16">
        <f>SUM(B44:C44)</f>
        <v>582</v>
      </c>
      <c r="E44" s="17">
        <f>38</f>
        <v>38</v>
      </c>
      <c r="F44" s="16">
        <f>150</f>
        <v>150</v>
      </c>
      <c r="G44" s="16">
        <f>SUM(E44:F44)</f>
        <v>188</v>
      </c>
      <c r="H44" s="17">
        <f t="shared" si="10"/>
        <v>131</v>
      </c>
      <c r="I44" s="16">
        <f t="shared" si="10"/>
        <v>639</v>
      </c>
      <c r="J44" s="16">
        <f>SUM(H44:I44)</f>
        <v>770</v>
      </c>
    </row>
    <row r="45" spans="1:10" s="1" customFormat="1" ht="12.75">
      <c r="A45" s="13" t="s">
        <v>5</v>
      </c>
      <c r="B45" s="22">
        <f aca="true" t="shared" si="11" ref="B45:J45">SUM(B41:B44)</f>
        <v>861</v>
      </c>
      <c r="C45" s="20">
        <f t="shared" si="11"/>
        <v>3471</v>
      </c>
      <c r="D45" s="20">
        <f t="shared" si="11"/>
        <v>4332</v>
      </c>
      <c r="E45" s="19">
        <f t="shared" si="11"/>
        <v>226</v>
      </c>
      <c r="F45" s="20">
        <f t="shared" si="11"/>
        <v>1150</v>
      </c>
      <c r="G45" s="20">
        <f t="shared" si="11"/>
        <v>1376</v>
      </c>
      <c r="H45" s="19">
        <f t="shared" si="11"/>
        <v>1087</v>
      </c>
      <c r="I45" s="20">
        <f t="shared" si="11"/>
        <v>4621</v>
      </c>
      <c r="J45" s="20">
        <f t="shared" si="11"/>
        <v>5708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804</v>
      </c>
      <c r="C48" s="16">
        <f t="shared" si="12"/>
        <v>3703</v>
      </c>
      <c r="D48" s="16">
        <f>SUM(B48:C48)</f>
        <v>4507</v>
      </c>
      <c r="E48" s="17">
        <f aca="true" t="shared" si="13" ref="E48:F51">SUM(E34,E41)</f>
        <v>330</v>
      </c>
      <c r="F48" s="16">
        <f t="shared" si="13"/>
        <v>1435</v>
      </c>
      <c r="G48" s="16">
        <f>SUM(E48:F48)</f>
        <v>1765</v>
      </c>
      <c r="H48" s="17">
        <f aca="true" t="shared" si="14" ref="H48:I51">SUM(B48,E48)</f>
        <v>1134</v>
      </c>
      <c r="I48" s="16">
        <f t="shared" si="14"/>
        <v>5138</v>
      </c>
      <c r="J48" s="16">
        <f>SUM(H48:I48)</f>
        <v>6272</v>
      </c>
    </row>
    <row r="49" spans="1:10" ht="12.75">
      <c r="A49" s="2" t="s">
        <v>39</v>
      </c>
      <c r="B49" s="17">
        <f t="shared" si="12"/>
        <v>4007</v>
      </c>
      <c r="C49" s="16">
        <f t="shared" si="12"/>
        <v>12771</v>
      </c>
      <c r="D49" s="16">
        <f>SUM(B49:C49)</f>
        <v>16778</v>
      </c>
      <c r="E49" s="17">
        <f t="shared" si="13"/>
        <v>840</v>
      </c>
      <c r="F49" s="16">
        <f t="shared" si="13"/>
        <v>4470</v>
      </c>
      <c r="G49" s="16">
        <f>SUM(E49:F49)</f>
        <v>5310</v>
      </c>
      <c r="H49" s="17">
        <f t="shared" si="14"/>
        <v>4847</v>
      </c>
      <c r="I49" s="16">
        <f t="shared" si="14"/>
        <v>17241</v>
      </c>
      <c r="J49" s="16">
        <f>SUM(H49:I49)</f>
        <v>22088</v>
      </c>
    </row>
    <row r="50" spans="1:10" ht="12.75">
      <c r="A50" s="2" t="s">
        <v>40</v>
      </c>
      <c r="B50" s="17">
        <f t="shared" si="12"/>
        <v>20</v>
      </c>
      <c r="C50" s="16">
        <f t="shared" si="12"/>
        <v>84</v>
      </c>
      <c r="D50" s="16">
        <f>SUM(B50:C50)</f>
        <v>104</v>
      </c>
      <c r="E50" s="17">
        <f t="shared" si="13"/>
        <v>2</v>
      </c>
      <c r="F50" s="16">
        <f t="shared" si="13"/>
        <v>22</v>
      </c>
      <c r="G50" s="16">
        <f>SUM(E50:F50)</f>
        <v>24</v>
      </c>
      <c r="H50" s="17">
        <f t="shared" si="14"/>
        <v>22</v>
      </c>
      <c r="I50" s="16">
        <f t="shared" si="14"/>
        <v>106</v>
      </c>
      <c r="J50" s="16">
        <f>SUM(H50:I50)</f>
        <v>128</v>
      </c>
    </row>
    <row r="51" spans="1:10" ht="12.75">
      <c r="A51" s="2" t="s">
        <v>41</v>
      </c>
      <c r="B51" s="17">
        <f t="shared" si="12"/>
        <v>1346</v>
      </c>
      <c r="C51" s="16">
        <f t="shared" si="12"/>
        <v>4777</v>
      </c>
      <c r="D51" s="16">
        <f>SUM(B51:C51)</f>
        <v>6123</v>
      </c>
      <c r="E51" s="17">
        <f t="shared" si="13"/>
        <v>367</v>
      </c>
      <c r="F51" s="16">
        <f t="shared" si="13"/>
        <v>1825</v>
      </c>
      <c r="G51" s="16">
        <f>SUM(E51:F51)</f>
        <v>2192</v>
      </c>
      <c r="H51" s="17">
        <f t="shared" si="14"/>
        <v>1713</v>
      </c>
      <c r="I51" s="16">
        <f t="shared" si="14"/>
        <v>6602</v>
      </c>
      <c r="J51" s="16">
        <f>SUM(H51:I51)</f>
        <v>8315</v>
      </c>
    </row>
    <row r="52" spans="1:10" s="1" customFormat="1" ht="12.75">
      <c r="A52" s="13" t="s">
        <v>5</v>
      </c>
      <c r="B52" s="19">
        <f>SUM(B48:B51)</f>
        <v>6177</v>
      </c>
      <c r="C52" s="20">
        <f>SUM(C48:C51)</f>
        <v>21335</v>
      </c>
      <c r="D52" s="20">
        <f>SUM(B52:C52)</f>
        <v>27512</v>
      </c>
      <c r="E52" s="19">
        <f>SUM(E48:E51)</f>
        <v>1539</v>
      </c>
      <c r="F52" s="20">
        <f>SUM(F48:F51)</f>
        <v>7752</v>
      </c>
      <c r="G52" s="20">
        <f>SUM(E52:F52)</f>
        <v>9291</v>
      </c>
      <c r="H52" s="19">
        <f>SUM(H48:H51)</f>
        <v>7716</v>
      </c>
      <c r="I52" s="20">
        <f>SUM(I48:I51)</f>
        <v>29087</v>
      </c>
      <c r="J52" s="20">
        <f>SUM(J48:J51)</f>
        <v>36803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652</v>
      </c>
      <c r="C56" s="21">
        <f t="shared" si="15"/>
        <v>4651</v>
      </c>
      <c r="D56" s="16">
        <f>SUM(B56:C56)</f>
        <v>5303</v>
      </c>
      <c r="E56" s="17">
        <f aca="true" t="shared" si="16" ref="E56:F59">E12+E34</f>
        <v>323</v>
      </c>
      <c r="F56" s="109">
        <f t="shared" si="16"/>
        <v>1927</v>
      </c>
      <c r="G56" s="16">
        <f>SUM(E56:F56)</f>
        <v>2250</v>
      </c>
      <c r="H56" s="17">
        <f aca="true" t="shared" si="17" ref="H56:I59">SUM(B56,E56)</f>
        <v>975</v>
      </c>
      <c r="I56" s="16">
        <f t="shared" si="17"/>
        <v>6578</v>
      </c>
      <c r="J56" s="16">
        <f>SUM(H56:I56)</f>
        <v>7553</v>
      </c>
    </row>
    <row r="57" spans="1:10" ht="12.75">
      <c r="A57" s="2" t="s">
        <v>39</v>
      </c>
      <c r="B57" s="15">
        <f t="shared" si="15"/>
        <v>3617</v>
      </c>
      <c r="C57" s="21">
        <f t="shared" si="15"/>
        <v>18251</v>
      </c>
      <c r="D57" s="16">
        <f>SUM(B57:C57)</f>
        <v>21868</v>
      </c>
      <c r="E57" s="17">
        <f t="shared" si="16"/>
        <v>862</v>
      </c>
      <c r="F57" s="109">
        <f t="shared" si="16"/>
        <v>6991</v>
      </c>
      <c r="G57" s="16">
        <f>SUM(E57:F57)</f>
        <v>7853</v>
      </c>
      <c r="H57" s="17">
        <f t="shared" si="17"/>
        <v>4479</v>
      </c>
      <c r="I57" s="16">
        <f t="shared" si="17"/>
        <v>25242</v>
      </c>
      <c r="J57" s="16">
        <f>SUM(H57:I57)</f>
        <v>29721</v>
      </c>
    </row>
    <row r="58" spans="1:10" ht="12.75">
      <c r="A58" s="2" t="s">
        <v>40</v>
      </c>
      <c r="B58" s="15">
        <f t="shared" si="15"/>
        <v>4</v>
      </c>
      <c r="C58" s="21">
        <f t="shared" si="15"/>
        <v>17</v>
      </c>
      <c r="D58" s="16">
        <f>SUM(B58:C58)</f>
        <v>21</v>
      </c>
      <c r="E58" s="17">
        <f t="shared" si="16"/>
        <v>0</v>
      </c>
      <c r="F58" s="109">
        <f t="shared" si="16"/>
        <v>7</v>
      </c>
      <c r="G58" s="16">
        <f>SUM(E58:F58)</f>
        <v>7</v>
      </c>
      <c r="H58" s="17">
        <f t="shared" si="17"/>
        <v>4</v>
      </c>
      <c r="I58" s="16">
        <f t="shared" si="17"/>
        <v>24</v>
      </c>
      <c r="J58" s="16">
        <f>SUM(H58:I58)</f>
        <v>28</v>
      </c>
    </row>
    <row r="59" spans="1:10" ht="12.75">
      <c r="A59" s="2" t="s">
        <v>41</v>
      </c>
      <c r="B59" s="110">
        <f t="shared" si="15"/>
        <v>1329</v>
      </c>
      <c r="C59" s="21">
        <f t="shared" si="15"/>
        <v>7183</v>
      </c>
      <c r="D59" s="16">
        <f>SUM(B59:C59)</f>
        <v>8512</v>
      </c>
      <c r="E59" s="111">
        <f t="shared" si="16"/>
        <v>391</v>
      </c>
      <c r="F59" s="109">
        <f t="shared" si="16"/>
        <v>2928</v>
      </c>
      <c r="G59" s="16">
        <f>SUM(E59:F59)</f>
        <v>3319</v>
      </c>
      <c r="H59" s="17">
        <f t="shared" si="17"/>
        <v>1720</v>
      </c>
      <c r="I59" s="16">
        <f t="shared" si="17"/>
        <v>10111</v>
      </c>
      <c r="J59" s="16">
        <f>SUM(H59:I59)</f>
        <v>11831</v>
      </c>
    </row>
    <row r="60" spans="1:10" s="1" customFormat="1" ht="12.75">
      <c r="A60" s="13" t="s">
        <v>5</v>
      </c>
      <c r="B60" s="19">
        <f aca="true" t="shared" si="18" ref="B60:J60">SUM(B56:B59)</f>
        <v>5602</v>
      </c>
      <c r="C60" s="20">
        <f t="shared" si="18"/>
        <v>30102</v>
      </c>
      <c r="D60" s="20">
        <f t="shared" si="18"/>
        <v>35704</v>
      </c>
      <c r="E60" s="19">
        <f t="shared" si="18"/>
        <v>1576</v>
      </c>
      <c r="F60" s="20">
        <f t="shared" si="18"/>
        <v>11853</v>
      </c>
      <c r="G60" s="20">
        <f t="shared" si="18"/>
        <v>13429</v>
      </c>
      <c r="H60" s="19">
        <f t="shared" si="18"/>
        <v>7178</v>
      </c>
      <c r="I60" s="20">
        <f t="shared" si="18"/>
        <v>41955</v>
      </c>
      <c r="J60" s="20">
        <f t="shared" si="18"/>
        <v>49133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197</v>
      </c>
      <c r="C63" s="21">
        <f t="shared" si="19"/>
        <v>959</v>
      </c>
      <c r="D63" s="16">
        <f>SUM(B63:C63)</f>
        <v>1156</v>
      </c>
      <c r="E63" s="17">
        <f aca="true" t="shared" si="20" ref="E63:F66">E19+E41</f>
        <v>66</v>
      </c>
      <c r="F63" s="109">
        <f t="shared" si="20"/>
        <v>348</v>
      </c>
      <c r="G63" s="16">
        <f>SUM(E63:F63)</f>
        <v>414</v>
      </c>
      <c r="H63" s="17">
        <f aca="true" t="shared" si="21" ref="H63:I66">SUM(B63,E63)</f>
        <v>263</v>
      </c>
      <c r="I63" s="16">
        <f t="shared" si="21"/>
        <v>1307</v>
      </c>
      <c r="J63" s="16">
        <f>SUM(H63:I63)</f>
        <v>1570</v>
      </c>
    </row>
    <row r="64" spans="1:10" ht="12.75">
      <c r="A64" s="2" t="s">
        <v>39</v>
      </c>
      <c r="B64" s="15">
        <f t="shared" si="19"/>
        <v>564</v>
      </c>
      <c r="C64" s="21">
        <f t="shared" si="19"/>
        <v>2284</v>
      </c>
      <c r="D64" s="16">
        <f>SUM(B64:C64)</f>
        <v>2848</v>
      </c>
      <c r="E64" s="17">
        <f t="shared" si="20"/>
        <v>126</v>
      </c>
      <c r="F64" s="109">
        <f t="shared" si="20"/>
        <v>752</v>
      </c>
      <c r="G64" s="16">
        <f>SUM(E64:F64)</f>
        <v>878</v>
      </c>
      <c r="H64" s="17">
        <f t="shared" si="21"/>
        <v>690</v>
      </c>
      <c r="I64" s="16">
        <f t="shared" si="21"/>
        <v>3036</v>
      </c>
      <c r="J64" s="16">
        <f>SUM(H64:I64)</f>
        <v>3726</v>
      </c>
    </row>
    <row r="65" spans="1:10" ht="12.75">
      <c r="A65" s="2" t="s">
        <v>40</v>
      </c>
      <c r="B65" s="15">
        <f t="shared" si="19"/>
        <v>16</v>
      </c>
      <c r="C65" s="21">
        <f t="shared" si="19"/>
        <v>75</v>
      </c>
      <c r="D65" s="16">
        <f>SUM(B65:C65)</f>
        <v>91</v>
      </c>
      <c r="E65" s="17">
        <f t="shared" si="20"/>
        <v>2</v>
      </c>
      <c r="F65" s="109">
        <f t="shared" si="20"/>
        <v>18</v>
      </c>
      <c r="G65" s="16">
        <f>SUM(E65:F65)</f>
        <v>20</v>
      </c>
      <c r="H65" s="17">
        <f t="shared" si="21"/>
        <v>18</v>
      </c>
      <c r="I65" s="16">
        <f t="shared" si="21"/>
        <v>93</v>
      </c>
      <c r="J65" s="16">
        <f>SUM(H65:I65)</f>
        <v>111</v>
      </c>
    </row>
    <row r="66" spans="1:10" ht="12.75">
      <c r="A66" s="2" t="s">
        <v>41</v>
      </c>
      <c r="B66" s="110">
        <f t="shared" si="19"/>
        <v>93</v>
      </c>
      <c r="C66" s="21">
        <f t="shared" si="19"/>
        <v>523</v>
      </c>
      <c r="D66" s="16">
        <f>SUM(B66:C66)</f>
        <v>616</v>
      </c>
      <c r="E66" s="111">
        <f t="shared" si="20"/>
        <v>39</v>
      </c>
      <c r="F66" s="109">
        <f t="shared" si="20"/>
        <v>163</v>
      </c>
      <c r="G66" s="16">
        <f>SUM(E66:F66)</f>
        <v>202</v>
      </c>
      <c r="H66" s="17">
        <f t="shared" si="21"/>
        <v>132</v>
      </c>
      <c r="I66" s="16">
        <f t="shared" si="21"/>
        <v>686</v>
      </c>
      <c r="J66" s="16">
        <f>SUM(H66:I66)</f>
        <v>818</v>
      </c>
    </row>
    <row r="67" spans="1:10" s="1" customFormat="1" ht="12.75">
      <c r="A67" s="13" t="s">
        <v>5</v>
      </c>
      <c r="B67" s="22">
        <f aca="true" t="shared" si="22" ref="B67:J67">SUM(B63:B66)</f>
        <v>870</v>
      </c>
      <c r="C67" s="20">
        <f t="shared" si="22"/>
        <v>3841</v>
      </c>
      <c r="D67" s="20">
        <f t="shared" si="22"/>
        <v>4711</v>
      </c>
      <c r="E67" s="19">
        <f t="shared" si="22"/>
        <v>233</v>
      </c>
      <c r="F67" s="20">
        <f t="shared" si="22"/>
        <v>1281</v>
      </c>
      <c r="G67" s="20">
        <f t="shared" si="22"/>
        <v>1514</v>
      </c>
      <c r="H67" s="19">
        <f t="shared" si="22"/>
        <v>1103</v>
      </c>
      <c r="I67" s="20">
        <f t="shared" si="22"/>
        <v>5122</v>
      </c>
      <c r="J67" s="20">
        <f t="shared" si="22"/>
        <v>6225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849</v>
      </c>
      <c r="C70" s="16">
        <f t="shared" si="23"/>
        <v>5610</v>
      </c>
      <c r="D70" s="16">
        <f>SUM(B70:C70)</f>
        <v>6459</v>
      </c>
      <c r="E70" s="17">
        <f aca="true" t="shared" si="24" ref="E70:F73">SUM(E56,E63)</f>
        <v>389</v>
      </c>
      <c r="F70" s="16">
        <f t="shared" si="24"/>
        <v>2275</v>
      </c>
      <c r="G70" s="16">
        <f>SUM(E70:F70)</f>
        <v>2664</v>
      </c>
      <c r="H70" s="17">
        <f aca="true" t="shared" si="25" ref="H70:I73">SUM(B70,E70)</f>
        <v>1238</v>
      </c>
      <c r="I70" s="16">
        <f t="shared" si="25"/>
        <v>7885</v>
      </c>
      <c r="J70" s="16">
        <f>SUM(H70:I70)</f>
        <v>9123</v>
      </c>
    </row>
    <row r="71" spans="1:10" ht="12.75">
      <c r="A71" s="2" t="s">
        <v>39</v>
      </c>
      <c r="B71" s="17">
        <f t="shared" si="23"/>
        <v>4181</v>
      </c>
      <c r="C71" s="16">
        <f t="shared" si="23"/>
        <v>20535</v>
      </c>
      <c r="D71" s="16">
        <f>SUM(B71:C71)</f>
        <v>24716</v>
      </c>
      <c r="E71" s="17">
        <f t="shared" si="24"/>
        <v>988</v>
      </c>
      <c r="F71" s="16">
        <f t="shared" si="24"/>
        <v>7743</v>
      </c>
      <c r="G71" s="16">
        <f>SUM(E71:F71)</f>
        <v>8731</v>
      </c>
      <c r="H71" s="17">
        <f t="shared" si="25"/>
        <v>5169</v>
      </c>
      <c r="I71" s="16">
        <f t="shared" si="25"/>
        <v>28278</v>
      </c>
      <c r="J71" s="16">
        <f>SUM(H71:I71)</f>
        <v>33447</v>
      </c>
    </row>
    <row r="72" spans="1:10" ht="12.75">
      <c r="A72" s="2" t="s">
        <v>40</v>
      </c>
      <c r="B72" s="17">
        <f t="shared" si="23"/>
        <v>20</v>
      </c>
      <c r="C72" s="16">
        <f t="shared" si="23"/>
        <v>92</v>
      </c>
      <c r="D72" s="16">
        <f>SUM(B72:C72)</f>
        <v>112</v>
      </c>
      <c r="E72" s="17">
        <f t="shared" si="24"/>
        <v>2</v>
      </c>
      <c r="F72" s="16">
        <f t="shared" si="24"/>
        <v>25</v>
      </c>
      <c r="G72" s="16">
        <f>SUM(E72:F72)</f>
        <v>27</v>
      </c>
      <c r="H72" s="17">
        <f t="shared" si="25"/>
        <v>22</v>
      </c>
      <c r="I72" s="16">
        <f t="shared" si="25"/>
        <v>117</v>
      </c>
      <c r="J72" s="16">
        <f>SUM(H72:I72)</f>
        <v>139</v>
      </c>
    </row>
    <row r="73" spans="1:10" ht="12.75">
      <c r="A73" s="2" t="s">
        <v>41</v>
      </c>
      <c r="B73" s="17">
        <f t="shared" si="23"/>
        <v>1422</v>
      </c>
      <c r="C73" s="16">
        <f t="shared" si="23"/>
        <v>7706</v>
      </c>
      <c r="D73" s="16">
        <f>SUM(B73:C73)</f>
        <v>9128</v>
      </c>
      <c r="E73" s="17">
        <f t="shared" si="24"/>
        <v>430</v>
      </c>
      <c r="F73" s="16">
        <f t="shared" si="24"/>
        <v>3091</v>
      </c>
      <c r="G73" s="16">
        <f>SUM(E73:F73)</f>
        <v>3521</v>
      </c>
      <c r="H73" s="17">
        <f t="shared" si="25"/>
        <v>1852</v>
      </c>
      <c r="I73" s="16">
        <f t="shared" si="25"/>
        <v>10797</v>
      </c>
      <c r="J73" s="16">
        <f>SUM(H73:I73)</f>
        <v>12649</v>
      </c>
    </row>
    <row r="74" spans="1:10" s="1" customFormat="1" ht="12.75">
      <c r="A74" s="13" t="s">
        <v>5</v>
      </c>
      <c r="B74" s="19">
        <f>SUM(B70:B73)</f>
        <v>6472</v>
      </c>
      <c r="C74" s="20">
        <f>SUM(C70:C73)</f>
        <v>33943</v>
      </c>
      <c r="D74" s="20">
        <f>SUM(B74:C74)</f>
        <v>40415</v>
      </c>
      <c r="E74" s="19">
        <f>SUM(E70:E73)</f>
        <v>1809</v>
      </c>
      <c r="F74" s="20">
        <f>SUM(F70:F73)</f>
        <v>13134</v>
      </c>
      <c r="G74" s="20">
        <f>SUM(E74:F74)</f>
        <v>14943</v>
      </c>
      <c r="H74" s="19">
        <f>SUM(H70:H73)</f>
        <v>8281</v>
      </c>
      <c r="I74" s="20">
        <f>SUM(I70:I73)</f>
        <v>47077</v>
      </c>
      <c r="J74" s="20">
        <f>SUM(J70:J73)</f>
        <v>55358</v>
      </c>
    </row>
    <row r="75" spans="2:10" ht="12.75">
      <c r="B75" s="109"/>
      <c r="C75" s="16"/>
      <c r="D75" s="16"/>
      <c r="E75" s="109"/>
      <c r="F75" s="16"/>
      <c r="G75" s="16"/>
      <c r="H75" s="109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orientation="portrait" paperSize="9" scale="78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33.7109375" style="2" customWidth="1"/>
    <col min="2" max="10" width="8.00390625" style="2" customWidth="1"/>
    <col min="11" max="16384" width="9.140625" style="2" customWidth="1"/>
  </cols>
  <sheetData>
    <row r="1" spans="1:4" ht="12.75">
      <c r="A1" s="1" t="s">
        <v>51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52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f>2</f>
        <v>2</v>
      </c>
      <c r="C12" s="16">
        <f>93</f>
        <v>93</v>
      </c>
      <c r="D12" s="16">
        <f>SUM(B12:C12)</f>
        <v>95</v>
      </c>
      <c r="E12" s="17">
        <f>3</f>
        <v>3</v>
      </c>
      <c r="F12" s="16">
        <f>47</f>
        <v>47</v>
      </c>
      <c r="G12" s="16">
        <f>SUM(E12:F12)</f>
        <v>50</v>
      </c>
      <c r="H12" s="17">
        <f aca="true" t="shared" si="0" ref="H12:I15">SUM(B12,E12)</f>
        <v>5</v>
      </c>
      <c r="I12" s="16">
        <f t="shared" si="0"/>
        <v>140</v>
      </c>
      <c r="J12" s="16">
        <f>SUM(H12:I12)</f>
        <v>145</v>
      </c>
    </row>
    <row r="13" spans="1:10" ht="12.75">
      <c r="A13" s="2" t="s">
        <v>39</v>
      </c>
      <c r="B13" s="15">
        <f>11</f>
        <v>11</v>
      </c>
      <c r="C13" s="16">
        <f>460</f>
        <v>460</v>
      </c>
      <c r="D13" s="16">
        <f>SUM(B13:C13)</f>
        <v>471</v>
      </c>
      <c r="E13" s="17">
        <f>5</f>
        <v>5</v>
      </c>
      <c r="F13" s="16">
        <f>174</f>
        <v>174</v>
      </c>
      <c r="G13" s="16">
        <f>SUM(E13:F13)</f>
        <v>179</v>
      </c>
      <c r="H13" s="17">
        <f t="shared" si="0"/>
        <v>16</v>
      </c>
      <c r="I13" s="16">
        <f t="shared" si="0"/>
        <v>634</v>
      </c>
      <c r="J13" s="16">
        <f>SUM(H13:I13)</f>
        <v>650</v>
      </c>
    </row>
    <row r="14" spans="1:10" ht="12.75">
      <c r="A14" s="2" t="s">
        <v>40</v>
      </c>
      <c r="B14" s="15">
        <f>0</f>
        <v>0</v>
      </c>
      <c r="C14" s="18">
        <f>0</f>
        <v>0</v>
      </c>
      <c r="D14" s="16">
        <f>SUM(B14:C14)</f>
        <v>0</v>
      </c>
      <c r="E14" s="15">
        <f>0</f>
        <v>0</v>
      </c>
      <c r="F14" s="16">
        <f>0</f>
        <v>0</v>
      </c>
      <c r="G14" s="16">
        <f>SUM(E14:F14)</f>
        <v>0</v>
      </c>
      <c r="H14" s="17">
        <f t="shared" si="0"/>
        <v>0</v>
      </c>
      <c r="I14" s="16">
        <f t="shared" si="0"/>
        <v>0</v>
      </c>
      <c r="J14" s="16">
        <f>SUM(H14:I14)</f>
        <v>0</v>
      </c>
    </row>
    <row r="15" spans="1:10" ht="12.75">
      <c r="A15" s="2" t="s">
        <v>41</v>
      </c>
      <c r="B15" s="17">
        <f>5</f>
        <v>5</v>
      </c>
      <c r="C15" s="16">
        <f>164</f>
        <v>164</v>
      </c>
      <c r="D15" s="16">
        <f>SUM(B15:C15)</f>
        <v>169</v>
      </c>
      <c r="E15" s="17">
        <f>5</f>
        <v>5</v>
      </c>
      <c r="F15" s="16">
        <f>57</f>
        <v>57</v>
      </c>
      <c r="G15" s="16">
        <f>SUM(E15:F15)</f>
        <v>62</v>
      </c>
      <c r="H15" s="17">
        <f t="shared" si="0"/>
        <v>10</v>
      </c>
      <c r="I15" s="16">
        <f t="shared" si="0"/>
        <v>221</v>
      </c>
      <c r="J15" s="16">
        <f>SUM(H15:I15)</f>
        <v>231</v>
      </c>
    </row>
    <row r="16" spans="1:10" s="1" customFormat="1" ht="12.75">
      <c r="A16" s="13" t="s">
        <v>5</v>
      </c>
      <c r="B16" s="19">
        <f>SUM(B12:B15)</f>
        <v>18</v>
      </c>
      <c r="C16" s="20">
        <f aca="true" t="shared" si="1" ref="C16:J16">SUM(C12:C15)</f>
        <v>717</v>
      </c>
      <c r="D16" s="20">
        <f t="shared" si="1"/>
        <v>735</v>
      </c>
      <c r="E16" s="19">
        <f t="shared" si="1"/>
        <v>13</v>
      </c>
      <c r="F16" s="20">
        <f t="shared" si="1"/>
        <v>278</v>
      </c>
      <c r="G16" s="20">
        <f t="shared" si="1"/>
        <v>291</v>
      </c>
      <c r="H16" s="19">
        <f t="shared" si="1"/>
        <v>31</v>
      </c>
      <c r="I16" s="20">
        <f t="shared" si="1"/>
        <v>995</v>
      </c>
      <c r="J16" s="20">
        <f t="shared" si="1"/>
        <v>1026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f>0</f>
        <v>0</v>
      </c>
      <c r="C19" s="16">
        <f>3</f>
        <v>3</v>
      </c>
      <c r="D19" s="16">
        <f>SUM(B19:C19)</f>
        <v>3</v>
      </c>
      <c r="E19" s="17">
        <f>0</f>
        <v>0</v>
      </c>
      <c r="F19" s="16">
        <f>2</f>
        <v>2</v>
      </c>
      <c r="G19" s="16">
        <f>SUM(E19:F19)</f>
        <v>2</v>
      </c>
      <c r="H19" s="17">
        <f aca="true" t="shared" si="2" ref="H19:I22">SUM(B19,E19)</f>
        <v>0</v>
      </c>
      <c r="I19" s="16">
        <f t="shared" si="2"/>
        <v>5</v>
      </c>
      <c r="J19" s="16">
        <f>SUM(H19:I19)</f>
        <v>5</v>
      </c>
    </row>
    <row r="20" spans="1:10" ht="12.75">
      <c r="A20" s="2" t="s">
        <v>39</v>
      </c>
      <c r="B20" s="15">
        <f>0</f>
        <v>0</v>
      </c>
      <c r="C20" s="18">
        <f>8</f>
        <v>8</v>
      </c>
      <c r="D20" s="16">
        <f>SUM(B20:C20)</f>
        <v>8</v>
      </c>
      <c r="E20" s="17">
        <f>0</f>
        <v>0</v>
      </c>
      <c r="F20" s="16">
        <f>4</f>
        <v>4</v>
      </c>
      <c r="G20" s="16">
        <f>SUM(E20:F20)</f>
        <v>4</v>
      </c>
      <c r="H20" s="17">
        <f t="shared" si="2"/>
        <v>0</v>
      </c>
      <c r="I20" s="16">
        <f t="shared" si="2"/>
        <v>12</v>
      </c>
      <c r="J20" s="16">
        <f>SUM(H20:I20)</f>
        <v>12</v>
      </c>
    </row>
    <row r="21" spans="1:10" ht="12.75">
      <c r="A21" s="2" t="s">
        <v>40</v>
      </c>
      <c r="B21" s="15">
        <f>0</f>
        <v>0</v>
      </c>
      <c r="C21" s="21">
        <f>0</f>
        <v>0</v>
      </c>
      <c r="D21" s="16">
        <f>SUM(B21:C21)</f>
        <v>0</v>
      </c>
      <c r="E21" s="17">
        <f>0</f>
        <v>0</v>
      </c>
      <c r="F21" s="21">
        <f>0</f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f>0</f>
        <v>0</v>
      </c>
      <c r="C22" s="18">
        <f>0</f>
        <v>0</v>
      </c>
      <c r="D22" s="16">
        <f>SUM(B22:C22)</f>
        <v>0</v>
      </c>
      <c r="E22" s="17">
        <f>0</f>
        <v>0</v>
      </c>
      <c r="F22" s="16">
        <f>0</f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11</v>
      </c>
      <c r="D23" s="20">
        <f t="shared" si="3"/>
        <v>11</v>
      </c>
      <c r="E23" s="19">
        <f t="shared" si="3"/>
        <v>0</v>
      </c>
      <c r="F23" s="20">
        <f t="shared" si="3"/>
        <v>6</v>
      </c>
      <c r="G23" s="20">
        <f t="shared" si="3"/>
        <v>6</v>
      </c>
      <c r="H23" s="19">
        <f t="shared" si="3"/>
        <v>0</v>
      </c>
      <c r="I23" s="20">
        <f t="shared" si="3"/>
        <v>17</v>
      </c>
      <c r="J23" s="20">
        <f t="shared" si="3"/>
        <v>17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2</v>
      </c>
      <c r="C26" s="16">
        <f t="shared" si="4"/>
        <v>96</v>
      </c>
      <c r="D26" s="16">
        <f>SUM(B26:C26)</f>
        <v>98</v>
      </c>
      <c r="E26" s="17">
        <f aca="true" t="shared" si="5" ref="E26:F29">SUM(E12,E19)</f>
        <v>3</v>
      </c>
      <c r="F26" s="16">
        <f t="shared" si="5"/>
        <v>49</v>
      </c>
      <c r="G26" s="16">
        <f>SUM(E26:F26)</f>
        <v>52</v>
      </c>
      <c r="H26" s="17">
        <f aca="true" t="shared" si="6" ref="H26:I29">SUM(B26,E26)</f>
        <v>5</v>
      </c>
      <c r="I26" s="16">
        <f t="shared" si="6"/>
        <v>145</v>
      </c>
      <c r="J26" s="16">
        <f>SUM(H26:I26)</f>
        <v>150</v>
      </c>
    </row>
    <row r="27" spans="1:10" ht="12.75">
      <c r="A27" s="2" t="s">
        <v>39</v>
      </c>
      <c r="B27" s="17">
        <f t="shared" si="4"/>
        <v>11</v>
      </c>
      <c r="C27" s="16">
        <f t="shared" si="4"/>
        <v>468</v>
      </c>
      <c r="D27" s="16">
        <f>SUM(B27:C27)</f>
        <v>479</v>
      </c>
      <c r="E27" s="17">
        <f t="shared" si="5"/>
        <v>5</v>
      </c>
      <c r="F27" s="16">
        <f t="shared" si="5"/>
        <v>178</v>
      </c>
      <c r="G27" s="16">
        <f>SUM(E27:F27)</f>
        <v>183</v>
      </c>
      <c r="H27" s="17">
        <f t="shared" si="6"/>
        <v>16</v>
      </c>
      <c r="I27" s="16">
        <f t="shared" si="6"/>
        <v>646</v>
      </c>
      <c r="J27" s="16">
        <f>SUM(H27:I27)</f>
        <v>662</v>
      </c>
    </row>
    <row r="28" spans="1:10" ht="12.75">
      <c r="A28" s="2" t="s">
        <v>40</v>
      </c>
      <c r="B28" s="17">
        <f t="shared" si="4"/>
        <v>0</v>
      </c>
      <c r="C28" s="16">
        <f t="shared" si="4"/>
        <v>0</v>
      </c>
      <c r="D28" s="16">
        <f>SUM(B28:C28)</f>
        <v>0</v>
      </c>
      <c r="E28" s="17">
        <f t="shared" si="5"/>
        <v>0</v>
      </c>
      <c r="F28" s="16">
        <f t="shared" si="5"/>
        <v>0</v>
      </c>
      <c r="G28" s="16">
        <f>SUM(E28:F28)</f>
        <v>0</v>
      </c>
      <c r="H28" s="17">
        <f t="shared" si="6"/>
        <v>0</v>
      </c>
      <c r="I28" s="16">
        <f t="shared" si="6"/>
        <v>0</v>
      </c>
      <c r="J28" s="16">
        <f>SUM(H28:I28)</f>
        <v>0</v>
      </c>
    </row>
    <row r="29" spans="1:10" ht="12.75">
      <c r="A29" s="2" t="s">
        <v>41</v>
      </c>
      <c r="B29" s="17">
        <f t="shared" si="4"/>
        <v>5</v>
      </c>
      <c r="C29" s="16">
        <f t="shared" si="4"/>
        <v>164</v>
      </c>
      <c r="D29" s="16">
        <f>SUM(B29:C29)</f>
        <v>169</v>
      </c>
      <c r="E29" s="17">
        <f t="shared" si="5"/>
        <v>5</v>
      </c>
      <c r="F29" s="16">
        <f t="shared" si="5"/>
        <v>57</v>
      </c>
      <c r="G29" s="16">
        <f>SUM(E29:F29)</f>
        <v>62</v>
      </c>
      <c r="H29" s="17">
        <f t="shared" si="6"/>
        <v>10</v>
      </c>
      <c r="I29" s="16">
        <f t="shared" si="6"/>
        <v>221</v>
      </c>
      <c r="J29" s="16">
        <f>SUM(H29:I29)</f>
        <v>231</v>
      </c>
    </row>
    <row r="30" spans="1:10" s="1" customFormat="1" ht="12.75">
      <c r="A30" s="13" t="s">
        <v>5</v>
      </c>
      <c r="B30" s="19">
        <f aca="true" t="shared" si="7" ref="B30:J30">SUM(B26:B29)</f>
        <v>18</v>
      </c>
      <c r="C30" s="20">
        <f t="shared" si="7"/>
        <v>728</v>
      </c>
      <c r="D30" s="20">
        <f>SUM(B30:C30)</f>
        <v>746</v>
      </c>
      <c r="E30" s="19">
        <f t="shared" si="7"/>
        <v>13</v>
      </c>
      <c r="F30" s="20">
        <f t="shared" si="7"/>
        <v>284</v>
      </c>
      <c r="G30" s="20">
        <f>SUM(E30:F30)</f>
        <v>297</v>
      </c>
      <c r="H30" s="19">
        <f t="shared" si="7"/>
        <v>31</v>
      </c>
      <c r="I30" s="20">
        <f t="shared" si="7"/>
        <v>1012</v>
      </c>
      <c r="J30" s="20">
        <f t="shared" si="7"/>
        <v>1043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f>77</f>
        <v>77</v>
      </c>
      <c r="C34" s="16">
        <f>347</f>
        <v>347</v>
      </c>
      <c r="D34" s="16">
        <f>SUM(B34:C34)</f>
        <v>424</v>
      </c>
      <c r="E34" s="17">
        <f>80</f>
        <v>80</v>
      </c>
      <c r="F34" s="16">
        <f>257</f>
        <v>257</v>
      </c>
      <c r="G34" s="16">
        <f>SUM(E34:F34)</f>
        <v>337</v>
      </c>
      <c r="H34" s="17">
        <f aca="true" t="shared" si="8" ref="H34:I37">SUM(B34,E34)</f>
        <v>157</v>
      </c>
      <c r="I34" s="16">
        <f t="shared" si="8"/>
        <v>604</v>
      </c>
      <c r="J34" s="16">
        <f>SUM(H34:I34)</f>
        <v>761</v>
      </c>
    </row>
    <row r="35" spans="1:10" ht="12.75">
      <c r="A35" s="2" t="s">
        <v>39</v>
      </c>
      <c r="B35" s="15">
        <f>186</f>
        <v>186</v>
      </c>
      <c r="C35" s="16">
        <f>1242</f>
        <v>1242</v>
      </c>
      <c r="D35" s="16">
        <f>SUM(B35:C35)</f>
        <v>1428</v>
      </c>
      <c r="E35" s="17">
        <f>120</f>
        <v>120</v>
      </c>
      <c r="F35" s="16">
        <f>535</f>
        <v>535</v>
      </c>
      <c r="G35" s="16">
        <f>SUM(E35:F35)</f>
        <v>655</v>
      </c>
      <c r="H35" s="17">
        <f t="shared" si="8"/>
        <v>306</v>
      </c>
      <c r="I35" s="16">
        <f t="shared" si="8"/>
        <v>1777</v>
      </c>
      <c r="J35" s="16">
        <f>SUM(H35:I35)</f>
        <v>2083</v>
      </c>
    </row>
    <row r="36" spans="1:10" ht="12.75">
      <c r="A36" s="2" t="s">
        <v>40</v>
      </c>
      <c r="B36" s="15">
        <f>0</f>
        <v>0</v>
      </c>
      <c r="C36" s="18">
        <f>1</f>
        <v>1</v>
      </c>
      <c r="D36" s="16">
        <f>SUM(B36:C36)</f>
        <v>1</v>
      </c>
      <c r="E36" s="15">
        <f>0</f>
        <v>0</v>
      </c>
      <c r="F36" s="16">
        <f>0</f>
        <v>0</v>
      </c>
      <c r="G36" s="16">
        <f>SUM(E36:F36)</f>
        <v>0</v>
      </c>
      <c r="H36" s="17">
        <f t="shared" si="8"/>
        <v>0</v>
      </c>
      <c r="I36" s="16">
        <f t="shared" si="8"/>
        <v>1</v>
      </c>
      <c r="J36" s="16">
        <f>SUM(H36:I36)</f>
        <v>1</v>
      </c>
    </row>
    <row r="37" spans="1:10" ht="12.75">
      <c r="A37" s="2" t="s">
        <v>41</v>
      </c>
      <c r="B37" s="17">
        <f>83</f>
        <v>83</v>
      </c>
      <c r="C37" s="16">
        <f>498</f>
        <v>498</v>
      </c>
      <c r="D37" s="16">
        <f>SUM(B37:C37)</f>
        <v>581</v>
      </c>
      <c r="E37" s="17">
        <f>52</f>
        <v>52</v>
      </c>
      <c r="F37" s="16">
        <f>231</f>
        <v>231</v>
      </c>
      <c r="G37" s="16">
        <f>SUM(E37:F37)</f>
        <v>283</v>
      </c>
      <c r="H37" s="17">
        <f t="shared" si="8"/>
        <v>135</v>
      </c>
      <c r="I37" s="16">
        <f t="shared" si="8"/>
        <v>729</v>
      </c>
      <c r="J37" s="16">
        <f>SUM(H37:I37)</f>
        <v>864</v>
      </c>
    </row>
    <row r="38" spans="1:10" s="1" customFormat="1" ht="12.75">
      <c r="A38" s="13" t="s">
        <v>5</v>
      </c>
      <c r="B38" s="19">
        <f>SUM(B34:B37)</f>
        <v>346</v>
      </c>
      <c r="C38" s="20">
        <f aca="true" t="shared" si="9" ref="C38:J38">SUM(C34:C37)</f>
        <v>2088</v>
      </c>
      <c r="D38" s="20">
        <f t="shared" si="9"/>
        <v>2434</v>
      </c>
      <c r="E38" s="19">
        <f t="shared" si="9"/>
        <v>252</v>
      </c>
      <c r="F38" s="20">
        <f t="shared" si="9"/>
        <v>1023</v>
      </c>
      <c r="G38" s="20">
        <f t="shared" si="9"/>
        <v>1275</v>
      </c>
      <c r="H38" s="19">
        <f t="shared" si="9"/>
        <v>598</v>
      </c>
      <c r="I38" s="20">
        <f t="shared" si="9"/>
        <v>3111</v>
      </c>
      <c r="J38" s="20">
        <f t="shared" si="9"/>
        <v>3709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f>54</f>
        <v>54</v>
      </c>
      <c r="C41" s="16">
        <f>430</f>
        <v>430</v>
      </c>
      <c r="D41" s="16">
        <f>SUM(B41:C41)</f>
        <v>484</v>
      </c>
      <c r="E41" s="17">
        <f>15</f>
        <v>15</v>
      </c>
      <c r="F41" s="16">
        <f>213</f>
        <v>213</v>
      </c>
      <c r="G41" s="16">
        <f>SUM(E41:F41)</f>
        <v>228</v>
      </c>
      <c r="H41" s="17">
        <f aca="true" t="shared" si="10" ref="H41:I44">SUM(B41,E41)</f>
        <v>69</v>
      </c>
      <c r="I41" s="16">
        <f t="shared" si="10"/>
        <v>643</v>
      </c>
      <c r="J41" s="16">
        <f>SUM(H41:I41)</f>
        <v>712</v>
      </c>
    </row>
    <row r="42" spans="1:10" ht="12.75">
      <c r="A42" s="2" t="s">
        <v>39</v>
      </c>
      <c r="B42" s="15">
        <f>77</f>
        <v>77</v>
      </c>
      <c r="C42" s="18">
        <f>774</f>
        <v>774</v>
      </c>
      <c r="D42" s="16">
        <f>SUM(B42:C42)</f>
        <v>851</v>
      </c>
      <c r="E42" s="17">
        <f>13</f>
        <v>13</v>
      </c>
      <c r="F42" s="16">
        <f>326</f>
        <v>326</v>
      </c>
      <c r="G42" s="16">
        <f>SUM(E42:F42)</f>
        <v>339</v>
      </c>
      <c r="H42" s="17">
        <f t="shared" si="10"/>
        <v>90</v>
      </c>
      <c r="I42" s="16">
        <f t="shared" si="10"/>
        <v>1100</v>
      </c>
      <c r="J42" s="16">
        <f>SUM(H42:I42)</f>
        <v>1190</v>
      </c>
    </row>
    <row r="43" spans="1:10" ht="12.75">
      <c r="A43" s="2" t="s">
        <v>40</v>
      </c>
      <c r="B43" s="15">
        <f>0</f>
        <v>0</v>
      </c>
      <c r="C43" s="21">
        <f>19</f>
        <v>19</v>
      </c>
      <c r="D43" s="16">
        <f>SUM(B43:C43)</f>
        <v>19</v>
      </c>
      <c r="E43" s="17">
        <f>1</f>
        <v>1</v>
      </c>
      <c r="F43" s="21">
        <f>6</f>
        <v>6</v>
      </c>
      <c r="G43" s="16">
        <f>SUM(E43:F43)</f>
        <v>7</v>
      </c>
      <c r="H43" s="17">
        <f t="shared" si="10"/>
        <v>1</v>
      </c>
      <c r="I43" s="16">
        <f t="shared" si="10"/>
        <v>25</v>
      </c>
      <c r="J43" s="16">
        <f>SUM(H43:I43)</f>
        <v>26</v>
      </c>
    </row>
    <row r="44" spans="1:10" ht="12.75">
      <c r="A44" s="2" t="s">
        <v>41</v>
      </c>
      <c r="B44" s="15">
        <f>13</f>
        <v>13</v>
      </c>
      <c r="C44" s="18">
        <f>192</f>
        <v>192</v>
      </c>
      <c r="D44" s="16">
        <f>SUM(B44:C44)</f>
        <v>205</v>
      </c>
      <c r="E44" s="17">
        <f>3</f>
        <v>3</v>
      </c>
      <c r="F44" s="16">
        <f>90</f>
        <v>90</v>
      </c>
      <c r="G44" s="16">
        <f>SUM(E44:F44)</f>
        <v>93</v>
      </c>
      <c r="H44" s="17">
        <f t="shared" si="10"/>
        <v>16</v>
      </c>
      <c r="I44" s="16">
        <f t="shared" si="10"/>
        <v>282</v>
      </c>
      <c r="J44" s="16">
        <f>SUM(H44:I44)</f>
        <v>298</v>
      </c>
    </row>
    <row r="45" spans="1:10" s="1" customFormat="1" ht="12.75">
      <c r="A45" s="13" t="s">
        <v>5</v>
      </c>
      <c r="B45" s="22">
        <f aca="true" t="shared" si="11" ref="B45:J45">SUM(B41:B44)</f>
        <v>144</v>
      </c>
      <c r="C45" s="20">
        <f t="shared" si="11"/>
        <v>1415</v>
      </c>
      <c r="D45" s="20">
        <f t="shared" si="11"/>
        <v>1559</v>
      </c>
      <c r="E45" s="19">
        <f t="shared" si="11"/>
        <v>32</v>
      </c>
      <c r="F45" s="20">
        <f t="shared" si="11"/>
        <v>635</v>
      </c>
      <c r="G45" s="20">
        <f t="shared" si="11"/>
        <v>667</v>
      </c>
      <c r="H45" s="19">
        <f t="shared" si="11"/>
        <v>176</v>
      </c>
      <c r="I45" s="20">
        <f t="shared" si="11"/>
        <v>2050</v>
      </c>
      <c r="J45" s="20">
        <f t="shared" si="11"/>
        <v>2226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131</v>
      </c>
      <c r="C48" s="16">
        <f t="shared" si="12"/>
        <v>777</v>
      </c>
      <c r="D48" s="16">
        <f>SUM(B48:C48)</f>
        <v>908</v>
      </c>
      <c r="E48" s="17">
        <f aca="true" t="shared" si="13" ref="E48:F51">SUM(E34,E41)</f>
        <v>95</v>
      </c>
      <c r="F48" s="16">
        <f t="shared" si="13"/>
        <v>470</v>
      </c>
      <c r="G48" s="16">
        <f>SUM(E48:F48)</f>
        <v>565</v>
      </c>
      <c r="H48" s="17">
        <f aca="true" t="shared" si="14" ref="H48:I51">SUM(B48,E48)</f>
        <v>226</v>
      </c>
      <c r="I48" s="16">
        <f t="shared" si="14"/>
        <v>1247</v>
      </c>
      <c r="J48" s="16">
        <f>SUM(H48:I48)</f>
        <v>1473</v>
      </c>
    </row>
    <row r="49" spans="1:10" ht="12.75">
      <c r="A49" s="2" t="s">
        <v>39</v>
      </c>
      <c r="B49" s="17">
        <f t="shared" si="12"/>
        <v>263</v>
      </c>
      <c r="C49" s="16">
        <f t="shared" si="12"/>
        <v>2016</v>
      </c>
      <c r="D49" s="16">
        <f>SUM(B49:C49)</f>
        <v>2279</v>
      </c>
      <c r="E49" s="17">
        <f t="shared" si="13"/>
        <v>133</v>
      </c>
      <c r="F49" s="16">
        <f t="shared" si="13"/>
        <v>861</v>
      </c>
      <c r="G49" s="16">
        <f>SUM(E49:F49)</f>
        <v>994</v>
      </c>
      <c r="H49" s="17">
        <f t="shared" si="14"/>
        <v>396</v>
      </c>
      <c r="I49" s="16">
        <f t="shared" si="14"/>
        <v>2877</v>
      </c>
      <c r="J49" s="16">
        <f>SUM(H49:I49)</f>
        <v>3273</v>
      </c>
    </row>
    <row r="50" spans="1:10" ht="12.75">
      <c r="A50" s="2" t="s">
        <v>40</v>
      </c>
      <c r="B50" s="17">
        <f t="shared" si="12"/>
        <v>0</v>
      </c>
      <c r="C50" s="16">
        <f t="shared" si="12"/>
        <v>20</v>
      </c>
      <c r="D50" s="16">
        <f>SUM(B50:C50)</f>
        <v>20</v>
      </c>
      <c r="E50" s="17">
        <f t="shared" si="13"/>
        <v>1</v>
      </c>
      <c r="F50" s="16">
        <f t="shared" si="13"/>
        <v>6</v>
      </c>
      <c r="G50" s="16">
        <f>SUM(E50:F50)</f>
        <v>7</v>
      </c>
      <c r="H50" s="17">
        <f t="shared" si="14"/>
        <v>1</v>
      </c>
      <c r="I50" s="16">
        <f t="shared" si="14"/>
        <v>26</v>
      </c>
      <c r="J50" s="16">
        <f>SUM(H50:I50)</f>
        <v>27</v>
      </c>
    </row>
    <row r="51" spans="1:10" ht="12.75">
      <c r="A51" s="2" t="s">
        <v>41</v>
      </c>
      <c r="B51" s="17">
        <f t="shared" si="12"/>
        <v>96</v>
      </c>
      <c r="C51" s="16">
        <f t="shared" si="12"/>
        <v>690</v>
      </c>
      <c r="D51" s="16">
        <f>SUM(B51:C51)</f>
        <v>786</v>
      </c>
      <c r="E51" s="17">
        <f t="shared" si="13"/>
        <v>55</v>
      </c>
      <c r="F51" s="16">
        <f t="shared" si="13"/>
        <v>321</v>
      </c>
      <c r="G51" s="16">
        <f>SUM(E51:F51)</f>
        <v>376</v>
      </c>
      <c r="H51" s="17">
        <f t="shared" si="14"/>
        <v>151</v>
      </c>
      <c r="I51" s="16">
        <f t="shared" si="14"/>
        <v>1011</v>
      </c>
      <c r="J51" s="16">
        <f>SUM(H51:I51)</f>
        <v>1162</v>
      </c>
    </row>
    <row r="52" spans="1:10" s="1" customFormat="1" ht="12.75">
      <c r="A52" s="13" t="s">
        <v>5</v>
      </c>
      <c r="B52" s="19">
        <f>SUM(B48:B51)</f>
        <v>490</v>
      </c>
      <c r="C52" s="20">
        <f>SUM(C48:C51)</f>
        <v>3503</v>
      </c>
      <c r="D52" s="20">
        <f>SUM(B52:C52)</f>
        <v>3993</v>
      </c>
      <c r="E52" s="19">
        <f>SUM(E48:E51)</f>
        <v>284</v>
      </c>
      <c r="F52" s="20">
        <f>SUM(F48:F51)</f>
        <v>1658</v>
      </c>
      <c r="G52" s="20">
        <f>SUM(E52:F52)</f>
        <v>1942</v>
      </c>
      <c r="H52" s="19">
        <f>SUM(H48:H51)</f>
        <v>774</v>
      </c>
      <c r="I52" s="20">
        <f>SUM(I48:I51)</f>
        <v>5161</v>
      </c>
      <c r="J52" s="20">
        <f>SUM(J48:J51)</f>
        <v>5935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>B12+B34</f>
        <v>79</v>
      </c>
      <c r="C56" s="21">
        <f>C12+C34</f>
        <v>440</v>
      </c>
      <c r="D56" s="16">
        <f>SUM(B56:C56)</f>
        <v>519</v>
      </c>
      <c r="E56" s="17">
        <f>E12+E34</f>
        <v>83</v>
      </c>
      <c r="F56" s="109">
        <f>F12+F34</f>
        <v>304</v>
      </c>
      <c r="G56" s="16">
        <f>SUM(E56:F56)</f>
        <v>387</v>
      </c>
      <c r="H56" s="17">
        <f aca="true" t="shared" si="15" ref="H56:I59">SUM(B56,E56)</f>
        <v>162</v>
      </c>
      <c r="I56" s="16">
        <f t="shared" si="15"/>
        <v>744</v>
      </c>
      <c r="J56" s="16">
        <f>SUM(H56:I56)</f>
        <v>906</v>
      </c>
    </row>
    <row r="57" spans="1:10" ht="12.75">
      <c r="A57" s="2" t="s">
        <v>39</v>
      </c>
      <c r="B57" s="15">
        <f aca="true" t="shared" si="16" ref="B57:C59">B13+B35</f>
        <v>197</v>
      </c>
      <c r="C57" s="21">
        <f t="shared" si="16"/>
        <v>1702</v>
      </c>
      <c r="D57" s="16">
        <f>SUM(B57:C57)</f>
        <v>1899</v>
      </c>
      <c r="E57" s="17">
        <f aca="true" t="shared" si="17" ref="E57:F59">E13+E35</f>
        <v>125</v>
      </c>
      <c r="F57" s="109">
        <f t="shared" si="17"/>
        <v>709</v>
      </c>
      <c r="G57" s="16">
        <f>SUM(E57:F57)</f>
        <v>834</v>
      </c>
      <c r="H57" s="17">
        <f t="shared" si="15"/>
        <v>322</v>
      </c>
      <c r="I57" s="16">
        <f t="shared" si="15"/>
        <v>2411</v>
      </c>
      <c r="J57" s="16">
        <f>SUM(H57:I57)</f>
        <v>2733</v>
      </c>
    </row>
    <row r="58" spans="1:10" ht="12.75">
      <c r="A58" s="2" t="s">
        <v>40</v>
      </c>
      <c r="B58" s="15">
        <f t="shared" si="16"/>
        <v>0</v>
      </c>
      <c r="C58" s="21">
        <f t="shared" si="16"/>
        <v>1</v>
      </c>
      <c r="D58" s="16">
        <f>SUM(B58:C58)</f>
        <v>1</v>
      </c>
      <c r="E58" s="17">
        <f t="shared" si="17"/>
        <v>0</v>
      </c>
      <c r="F58" s="109">
        <f t="shared" si="17"/>
        <v>0</v>
      </c>
      <c r="G58" s="16">
        <f>SUM(E58:F58)</f>
        <v>0</v>
      </c>
      <c r="H58" s="17">
        <f t="shared" si="15"/>
        <v>0</v>
      </c>
      <c r="I58" s="16">
        <f t="shared" si="15"/>
        <v>1</v>
      </c>
      <c r="J58" s="16">
        <f>SUM(H58:I58)</f>
        <v>1</v>
      </c>
    </row>
    <row r="59" spans="1:10" ht="12.75">
      <c r="A59" s="2" t="s">
        <v>41</v>
      </c>
      <c r="B59" s="110">
        <f t="shared" si="16"/>
        <v>88</v>
      </c>
      <c r="C59" s="21">
        <f t="shared" si="16"/>
        <v>662</v>
      </c>
      <c r="D59" s="16">
        <f>SUM(B59:C59)</f>
        <v>750</v>
      </c>
      <c r="E59" s="111">
        <f t="shared" si="17"/>
        <v>57</v>
      </c>
      <c r="F59" s="109">
        <f t="shared" si="17"/>
        <v>288</v>
      </c>
      <c r="G59" s="16">
        <f>SUM(E59:F59)</f>
        <v>345</v>
      </c>
      <c r="H59" s="17">
        <f t="shared" si="15"/>
        <v>145</v>
      </c>
      <c r="I59" s="16">
        <f t="shared" si="15"/>
        <v>950</v>
      </c>
      <c r="J59" s="16">
        <f>SUM(H59:I59)</f>
        <v>1095</v>
      </c>
    </row>
    <row r="60" spans="1:10" s="1" customFormat="1" ht="12.75">
      <c r="A60" s="13" t="s">
        <v>5</v>
      </c>
      <c r="B60" s="19">
        <f>SUM(B56:B59)</f>
        <v>364</v>
      </c>
      <c r="C60" s="20">
        <f aca="true" t="shared" si="18" ref="C60:J60">SUM(C56:C59)</f>
        <v>2805</v>
      </c>
      <c r="D60" s="20">
        <f t="shared" si="18"/>
        <v>3169</v>
      </c>
      <c r="E60" s="19">
        <f t="shared" si="18"/>
        <v>265</v>
      </c>
      <c r="F60" s="20">
        <f t="shared" si="18"/>
        <v>1301</v>
      </c>
      <c r="G60" s="20">
        <f t="shared" si="18"/>
        <v>1566</v>
      </c>
      <c r="H60" s="19">
        <f t="shared" si="18"/>
        <v>629</v>
      </c>
      <c r="I60" s="20">
        <f t="shared" si="18"/>
        <v>4106</v>
      </c>
      <c r="J60" s="20">
        <f t="shared" si="18"/>
        <v>4735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>B19+B41</f>
        <v>54</v>
      </c>
      <c r="C63" s="21">
        <f>C19+C41</f>
        <v>433</v>
      </c>
      <c r="D63" s="16">
        <f>SUM(B63:C63)</f>
        <v>487</v>
      </c>
      <c r="E63" s="17">
        <f>E19+E41</f>
        <v>15</v>
      </c>
      <c r="F63" s="109">
        <f>F19+F41</f>
        <v>215</v>
      </c>
      <c r="G63" s="16">
        <f>SUM(E63:F63)</f>
        <v>230</v>
      </c>
      <c r="H63" s="17">
        <f aca="true" t="shared" si="19" ref="H63:I66">SUM(B63,E63)</f>
        <v>69</v>
      </c>
      <c r="I63" s="16">
        <f t="shared" si="19"/>
        <v>648</v>
      </c>
      <c r="J63" s="16">
        <f>SUM(H63:I63)</f>
        <v>717</v>
      </c>
    </row>
    <row r="64" spans="1:10" ht="12.75">
      <c r="A64" s="2" t="s">
        <v>39</v>
      </c>
      <c r="B64" s="15">
        <f aca="true" t="shared" si="20" ref="B64:C66">B20+B42</f>
        <v>77</v>
      </c>
      <c r="C64" s="21">
        <f t="shared" si="20"/>
        <v>782</v>
      </c>
      <c r="D64" s="16">
        <f>SUM(B64:C64)</f>
        <v>859</v>
      </c>
      <c r="E64" s="17">
        <f aca="true" t="shared" si="21" ref="E64:F66">E20+E42</f>
        <v>13</v>
      </c>
      <c r="F64" s="109">
        <f t="shared" si="21"/>
        <v>330</v>
      </c>
      <c r="G64" s="16">
        <f>SUM(E64:F64)</f>
        <v>343</v>
      </c>
      <c r="H64" s="17">
        <f t="shared" si="19"/>
        <v>90</v>
      </c>
      <c r="I64" s="16">
        <f t="shared" si="19"/>
        <v>1112</v>
      </c>
      <c r="J64" s="16">
        <f>SUM(H64:I64)</f>
        <v>1202</v>
      </c>
    </row>
    <row r="65" spans="1:10" ht="12.75">
      <c r="A65" s="2" t="s">
        <v>40</v>
      </c>
      <c r="B65" s="15">
        <f t="shared" si="20"/>
        <v>0</v>
      </c>
      <c r="C65" s="21">
        <f t="shared" si="20"/>
        <v>19</v>
      </c>
      <c r="D65" s="16">
        <f>SUM(B65:C65)</f>
        <v>19</v>
      </c>
      <c r="E65" s="17">
        <f t="shared" si="21"/>
        <v>1</v>
      </c>
      <c r="F65" s="109">
        <f t="shared" si="21"/>
        <v>6</v>
      </c>
      <c r="G65" s="16">
        <f>SUM(E65:F65)</f>
        <v>7</v>
      </c>
      <c r="H65" s="17">
        <f t="shared" si="19"/>
        <v>1</v>
      </c>
      <c r="I65" s="16">
        <f t="shared" si="19"/>
        <v>25</v>
      </c>
      <c r="J65" s="16">
        <f>SUM(H65:I65)</f>
        <v>26</v>
      </c>
    </row>
    <row r="66" spans="1:10" ht="12.75">
      <c r="A66" s="2" t="s">
        <v>41</v>
      </c>
      <c r="B66" s="110">
        <f t="shared" si="20"/>
        <v>13</v>
      </c>
      <c r="C66" s="21">
        <f t="shared" si="20"/>
        <v>192</v>
      </c>
      <c r="D66" s="16">
        <f>SUM(B66:C66)</f>
        <v>205</v>
      </c>
      <c r="E66" s="111">
        <f t="shared" si="21"/>
        <v>3</v>
      </c>
      <c r="F66" s="109">
        <f t="shared" si="21"/>
        <v>90</v>
      </c>
      <c r="G66" s="16">
        <f>SUM(E66:F66)</f>
        <v>93</v>
      </c>
      <c r="H66" s="17">
        <f t="shared" si="19"/>
        <v>16</v>
      </c>
      <c r="I66" s="16">
        <f t="shared" si="19"/>
        <v>282</v>
      </c>
      <c r="J66" s="16">
        <f>SUM(H66:I66)</f>
        <v>298</v>
      </c>
    </row>
    <row r="67" spans="1:10" s="1" customFormat="1" ht="12.75">
      <c r="A67" s="13" t="s">
        <v>5</v>
      </c>
      <c r="B67" s="22">
        <f aca="true" t="shared" si="22" ref="B67:J67">SUM(B63:B66)</f>
        <v>144</v>
      </c>
      <c r="C67" s="20">
        <f t="shared" si="22"/>
        <v>1426</v>
      </c>
      <c r="D67" s="20">
        <f t="shared" si="22"/>
        <v>1570</v>
      </c>
      <c r="E67" s="19">
        <f t="shared" si="22"/>
        <v>32</v>
      </c>
      <c r="F67" s="20">
        <f t="shared" si="22"/>
        <v>641</v>
      </c>
      <c r="G67" s="20">
        <f t="shared" si="22"/>
        <v>673</v>
      </c>
      <c r="H67" s="19">
        <f t="shared" si="22"/>
        <v>176</v>
      </c>
      <c r="I67" s="20">
        <f t="shared" si="22"/>
        <v>2067</v>
      </c>
      <c r="J67" s="20">
        <f t="shared" si="22"/>
        <v>2243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133</v>
      </c>
      <c r="C70" s="16">
        <f t="shared" si="23"/>
        <v>873</v>
      </c>
      <c r="D70" s="16">
        <f>SUM(B70:C70)</f>
        <v>1006</v>
      </c>
      <c r="E70" s="17">
        <f aca="true" t="shared" si="24" ref="E70:F73">SUM(E56,E63)</f>
        <v>98</v>
      </c>
      <c r="F70" s="16">
        <f t="shared" si="24"/>
        <v>519</v>
      </c>
      <c r="G70" s="16">
        <f>SUM(E70:F70)</f>
        <v>617</v>
      </c>
      <c r="H70" s="17">
        <f aca="true" t="shared" si="25" ref="H70:I73">SUM(B70,E70)</f>
        <v>231</v>
      </c>
      <c r="I70" s="16">
        <f t="shared" si="25"/>
        <v>1392</v>
      </c>
      <c r="J70" s="16">
        <f>SUM(H70:I70)</f>
        <v>1623</v>
      </c>
    </row>
    <row r="71" spans="1:10" ht="12.75">
      <c r="A71" s="2" t="s">
        <v>39</v>
      </c>
      <c r="B71" s="17">
        <f t="shared" si="23"/>
        <v>274</v>
      </c>
      <c r="C71" s="16">
        <f t="shared" si="23"/>
        <v>2484</v>
      </c>
      <c r="D71" s="16">
        <f>SUM(B71:C71)</f>
        <v>2758</v>
      </c>
      <c r="E71" s="17">
        <f t="shared" si="24"/>
        <v>138</v>
      </c>
      <c r="F71" s="16">
        <f t="shared" si="24"/>
        <v>1039</v>
      </c>
      <c r="G71" s="16">
        <f>SUM(E71:F71)</f>
        <v>1177</v>
      </c>
      <c r="H71" s="17">
        <f t="shared" si="25"/>
        <v>412</v>
      </c>
      <c r="I71" s="16">
        <f t="shared" si="25"/>
        <v>3523</v>
      </c>
      <c r="J71" s="16">
        <f>SUM(H71:I71)</f>
        <v>3935</v>
      </c>
    </row>
    <row r="72" spans="1:10" ht="12.75">
      <c r="A72" s="2" t="s">
        <v>40</v>
      </c>
      <c r="B72" s="17">
        <f t="shared" si="23"/>
        <v>0</v>
      </c>
      <c r="C72" s="16">
        <f t="shared" si="23"/>
        <v>20</v>
      </c>
      <c r="D72" s="16">
        <f>SUM(B72:C72)</f>
        <v>20</v>
      </c>
      <c r="E72" s="17">
        <f t="shared" si="24"/>
        <v>1</v>
      </c>
      <c r="F72" s="16">
        <f t="shared" si="24"/>
        <v>6</v>
      </c>
      <c r="G72" s="16">
        <f>SUM(E72:F72)</f>
        <v>7</v>
      </c>
      <c r="H72" s="17">
        <f t="shared" si="25"/>
        <v>1</v>
      </c>
      <c r="I72" s="16">
        <f t="shared" si="25"/>
        <v>26</v>
      </c>
      <c r="J72" s="16">
        <f>SUM(H72:I72)</f>
        <v>27</v>
      </c>
    </row>
    <row r="73" spans="1:10" ht="12.75">
      <c r="A73" s="2" t="s">
        <v>41</v>
      </c>
      <c r="B73" s="17">
        <f t="shared" si="23"/>
        <v>101</v>
      </c>
      <c r="C73" s="16">
        <f t="shared" si="23"/>
        <v>854</v>
      </c>
      <c r="D73" s="16">
        <f>SUM(B73:C73)</f>
        <v>955</v>
      </c>
      <c r="E73" s="17">
        <f t="shared" si="24"/>
        <v>60</v>
      </c>
      <c r="F73" s="16">
        <f t="shared" si="24"/>
        <v>378</v>
      </c>
      <c r="G73" s="16">
        <f>SUM(E73:F73)</f>
        <v>438</v>
      </c>
      <c r="H73" s="17">
        <f t="shared" si="25"/>
        <v>161</v>
      </c>
      <c r="I73" s="16">
        <f t="shared" si="25"/>
        <v>1232</v>
      </c>
      <c r="J73" s="16">
        <f>SUM(H73:I73)</f>
        <v>1393</v>
      </c>
    </row>
    <row r="74" spans="1:10" s="1" customFormat="1" ht="12.75">
      <c r="A74" s="13" t="s">
        <v>5</v>
      </c>
      <c r="B74" s="19">
        <f>SUM(B70:B73)</f>
        <v>508</v>
      </c>
      <c r="C74" s="20">
        <f>SUM(C70:C73)</f>
        <v>4231</v>
      </c>
      <c r="D74" s="20">
        <f>SUM(B74:C74)</f>
        <v>4739</v>
      </c>
      <c r="E74" s="19">
        <f>SUM(E70:E73)</f>
        <v>297</v>
      </c>
      <c r="F74" s="20">
        <f>SUM(F70:F73)</f>
        <v>1942</v>
      </c>
      <c r="G74" s="20">
        <f>SUM(E74:F74)</f>
        <v>2239</v>
      </c>
      <c r="H74" s="19">
        <f>SUM(H70:H73)</f>
        <v>805</v>
      </c>
      <c r="I74" s="20">
        <f>SUM(I70:I73)</f>
        <v>6173</v>
      </c>
      <c r="J74" s="20">
        <f>SUM(J70:J73)</f>
        <v>6978</v>
      </c>
    </row>
    <row r="75" spans="2:10" ht="12.75">
      <c r="B75" s="17"/>
      <c r="C75" s="16"/>
      <c r="D75" s="16"/>
      <c r="E75" s="17"/>
      <c r="F75" s="16"/>
      <c r="G75" s="16"/>
      <c r="H75" s="17"/>
      <c r="I75" s="16"/>
      <c r="J75" s="16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M33" sqref="M33"/>
    </sheetView>
  </sheetViews>
  <sheetFormatPr defaultColWidth="9.140625" defaultRowHeight="12.75"/>
  <cols>
    <col min="1" max="1" width="33.00390625" style="2" customWidth="1"/>
    <col min="2" max="2" width="7.8515625" style="2" customWidth="1"/>
    <col min="3" max="3" width="9.57421875" style="2" customWidth="1"/>
    <col min="4" max="4" width="9.28125" style="2" customWidth="1"/>
    <col min="5" max="5" width="8.28125" style="2" customWidth="1"/>
    <col min="6" max="6" width="9.57421875" style="2" customWidth="1"/>
    <col min="7" max="7" width="8.28125" style="2" customWidth="1"/>
    <col min="8" max="9" width="9.00390625" style="2" customWidth="1"/>
    <col min="10" max="10" width="9.7109375" style="2" customWidth="1"/>
    <col min="11" max="16384" width="9.140625" style="2" customWidth="1"/>
  </cols>
  <sheetData>
    <row r="1" spans="1:4" ht="12.75">
      <c r="A1" s="1" t="s">
        <v>51</v>
      </c>
      <c r="D1" s="2" t="s">
        <v>0</v>
      </c>
    </row>
    <row r="2" spans="1:10" ht="12.75">
      <c r="A2" s="3" t="s">
        <v>1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f>47</f>
        <v>47</v>
      </c>
      <c r="C12" s="16">
        <f>1964</f>
        <v>1964</v>
      </c>
      <c r="D12" s="16">
        <f>SUM(B12:C12)</f>
        <v>2011</v>
      </c>
      <c r="E12" s="17">
        <f>67</f>
        <v>67</v>
      </c>
      <c r="F12" s="16">
        <f>946</f>
        <v>946</v>
      </c>
      <c r="G12" s="16">
        <f>SUM(E12:F12)</f>
        <v>1013</v>
      </c>
      <c r="H12" s="17">
        <f aca="true" t="shared" si="0" ref="H12:I15">SUM(B12,E12)</f>
        <v>114</v>
      </c>
      <c r="I12" s="16">
        <f t="shared" si="0"/>
        <v>2910</v>
      </c>
      <c r="J12" s="16">
        <f>SUM(H12:I12)</f>
        <v>3024</v>
      </c>
    </row>
    <row r="13" spans="1:10" ht="12.75">
      <c r="A13" s="2" t="s">
        <v>39</v>
      </c>
      <c r="B13" s="15">
        <f>163</f>
        <v>163</v>
      </c>
      <c r="C13" s="16">
        <f>8598</f>
        <v>8598</v>
      </c>
      <c r="D13" s="16">
        <f>SUM(B13:C13)</f>
        <v>8761</v>
      </c>
      <c r="E13" s="17">
        <f>160</f>
        <v>160</v>
      </c>
      <c r="F13" s="16">
        <f>3733</f>
        <v>3733</v>
      </c>
      <c r="G13" s="16">
        <f>SUM(E13:F13)</f>
        <v>3893</v>
      </c>
      <c r="H13" s="17">
        <f t="shared" si="0"/>
        <v>323</v>
      </c>
      <c r="I13" s="16">
        <f t="shared" si="0"/>
        <v>12331</v>
      </c>
      <c r="J13" s="16">
        <f>SUM(H13:I13)</f>
        <v>12654</v>
      </c>
    </row>
    <row r="14" spans="1:10" ht="12.75">
      <c r="A14" s="2" t="s">
        <v>40</v>
      </c>
      <c r="B14" s="15">
        <f>0</f>
        <v>0</v>
      </c>
      <c r="C14" s="18">
        <f>9</f>
        <v>9</v>
      </c>
      <c r="D14" s="16">
        <f>SUM(B14:C14)</f>
        <v>9</v>
      </c>
      <c r="E14" s="15">
        <f>1</f>
        <v>1</v>
      </c>
      <c r="F14" s="16">
        <f>6</f>
        <v>6</v>
      </c>
      <c r="G14" s="16">
        <f>SUM(E14:F14)</f>
        <v>7</v>
      </c>
      <c r="H14" s="17">
        <f t="shared" si="0"/>
        <v>1</v>
      </c>
      <c r="I14" s="16">
        <f t="shared" si="0"/>
        <v>15</v>
      </c>
      <c r="J14" s="16">
        <f>SUM(H14:I14)</f>
        <v>16</v>
      </c>
    </row>
    <row r="15" spans="1:10" ht="12.75">
      <c r="A15" s="2" t="s">
        <v>41</v>
      </c>
      <c r="B15" s="17">
        <f>77</f>
        <v>77</v>
      </c>
      <c r="C15" s="16">
        <f>3238</f>
        <v>3238</v>
      </c>
      <c r="D15" s="16">
        <f>SUM(B15:C15)</f>
        <v>3315</v>
      </c>
      <c r="E15" s="17">
        <f>69</f>
        <v>69</v>
      </c>
      <c r="F15" s="16">
        <f>1452</f>
        <v>1452</v>
      </c>
      <c r="G15" s="16">
        <f>SUM(E15:F15)</f>
        <v>1521</v>
      </c>
      <c r="H15" s="17">
        <f t="shared" si="0"/>
        <v>146</v>
      </c>
      <c r="I15" s="16">
        <f t="shared" si="0"/>
        <v>4690</v>
      </c>
      <c r="J15" s="16">
        <f>SUM(H15:I15)</f>
        <v>4836</v>
      </c>
    </row>
    <row r="16" spans="1:10" s="1" customFormat="1" ht="12.75">
      <c r="A16" s="13" t="s">
        <v>5</v>
      </c>
      <c r="B16" s="19">
        <f>SUM(B12:B15)</f>
        <v>287</v>
      </c>
      <c r="C16" s="20">
        <f aca="true" t="shared" si="1" ref="C16:J16">SUM(C12:C15)</f>
        <v>13809</v>
      </c>
      <c r="D16" s="20">
        <f t="shared" si="1"/>
        <v>14096</v>
      </c>
      <c r="E16" s="19">
        <f t="shared" si="1"/>
        <v>297</v>
      </c>
      <c r="F16" s="20">
        <f t="shared" si="1"/>
        <v>6137</v>
      </c>
      <c r="G16" s="20">
        <f t="shared" si="1"/>
        <v>6434</v>
      </c>
      <c r="H16" s="19">
        <f t="shared" si="1"/>
        <v>584</v>
      </c>
      <c r="I16" s="20">
        <f t="shared" si="1"/>
        <v>19946</v>
      </c>
      <c r="J16" s="20">
        <f t="shared" si="1"/>
        <v>20530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f>0</f>
        <v>0</v>
      </c>
      <c r="C19" s="16">
        <f>110</f>
        <v>110</v>
      </c>
      <c r="D19" s="16">
        <f>SUM(B19:C19)</f>
        <v>110</v>
      </c>
      <c r="E19" s="17">
        <f>0</f>
        <v>0</v>
      </c>
      <c r="F19" s="16">
        <f>48</f>
        <v>48</v>
      </c>
      <c r="G19" s="16">
        <f>SUM(E19:F19)</f>
        <v>48</v>
      </c>
      <c r="H19" s="17">
        <f aca="true" t="shared" si="2" ref="H19:I22">SUM(B19,E19)</f>
        <v>0</v>
      </c>
      <c r="I19" s="16">
        <f t="shared" si="2"/>
        <v>158</v>
      </c>
      <c r="J19" s="16">
        <f>SUM(H19:I19)</f>
        <v>158</v>
      </c>
    </row>
    <row r="20" spans="1:10" ht="12.75">
      <c r="A20" s="2" t="s">
        <v>39</v>
      </c>
      <c r="B20" s="15">
        <f>8</f>
        <v>8</v>
      </c>
      <c r="C20" s="18">
        <f>275</f>
        <v>275</v>
      </c>
      <c r="D20" s="16">
        <f>SUM(B20:C20)</f>
        <v>283</v>
      </c>
      <c r="E20" s="17">
        <f>5</f>
        <v>5</v>
      </c>
      <c r="F20" s="16">
        <f>95</f>
        <v>95</v>
      </c>
      <c r="G20" s="16">
        <f>SUM(E20:F20)</f>
        <v>100</v>
      </c>
      <c r="H20" s="17">
        <f t="shared" si="2"/>
        <v>13</v>
      </c>
      <c r="I20" s="16">
        <f t="shared" si="2"/>
        <v>370</v>
      </c>
      <c r="J20" s="16">
        <f>SUM(H20:I20)</f>
        <v>383</v>
      </c>
    </row>
    <row r="21" spans="1:10" ht="12.75">
      <c r="A21" s="2" t="s">
        <v>40</v>
      </c>
      <c r="B21" s="15">
        <f>0</f>
        <v>0</v>
      </c>
      <c r="C21" s="21">
        <f>0</f>
        <v>0</v>
      </c>
      <c r="D21" s="16">
        <f>SUM(B21:C21)</f>
        <v>0</v>
      </c>
      <c r="E21" s="17">
        <f>0</f>
        <v>0</v>
      </c>
      <c r="F21" s="21">
        <f>0</f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f>0</f>
        <v>0</v>
      </c>
      <c r="C22" s="18">
        <f>37</f>
        <v>37</v>
      </c>
      <c r="D22" s="16">
        <f>SUM(B22:C22)</f>
        <v>37</v>
      </c>
      <c r="E22" s="17">
        <f>1</f>
        <v>1</v>
      </c>
      <c r="F22" s="16">
        <f>17</f>
        <v>17</v>
      </c>
      <c r="G22" s="16">
        <f>SUM(E22:F22)</f>
        <v>18</v>
      </c>
      <c r="H22" s="17">
        <f t="shared" si="2"/>
        <v>1</v>
      </c>
      <c r="I22" s="16">
        <f t="shared" si="2"/>
        <v>54</v>
      </c>
      <c r="J22" s="16">
        <f>SUM(H22:I22)</f>
        <v>55</v>
      </c>
    </row>
    <row r="23" spans="1:10" s="1" customFormat="1" ht="13.5" customHeight="1">
      <c r="A23" s="13" t="s">
        <v>5</v>
      </c>
      <c r="B23" s="22">
        <f aca="true" t="shared" si="3" ref="B23:J23">SUM(B19:B22)</f>
        <v>8</v>
      </c>
      <c r="C23" s="20">
        <f t="shared" si="3"/>
        <v>422</v>
      </c>
      <c r="D23" s="20">
        <f t="shared" si="3"/>
        <v>430</v>
      </c>
      <c r="E23" s="19">
        <f t="shared" si="3"/>
        <v>6</v>
      </c>
      <c r="F23" s="20">
        <f t="shared" si="3"/>
        <v>160</v>
      </c>
      <c r="G23" s="20">
        <f t="shared" si="3"/>
        <v>166</v>
      </c>
      <c r="H23" s="19">
        <f t="shared" si="3"/>
        <v>14</v>
      </c>
      <c r="I23" s="20">
        <f t="shared" si="3"/>
        <v>582</v>
      </c>
      <c r="J23" s="20">
        <f t="shared" si="3"/>
        <v>596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47</v>
      </c>
      <c r="C26" s="16">
        <f t="shared" si="4"/>
        <v>2074</v>
      </c>
      <c r="D26" s="16">
        <f>SUM(B26:C26)</f>
        <v>2121</v>
      </c>
      <c r="E26" s="17">
        <f aca="true" t="shared" si="5" ref="E26:F29">SUM(E12,E19)</f>
        <v>67</v>
      </c>
      <c r="F26" s="16">
        <f t="shared" si="5"/>
        <v>994</v>
      </c>
      <c r="G26" s="16">
        <f>SUM(E26:F26)</f>
        <v>1061</v>
      </c>
      <c r="H26" s="17">
        <f aca="true" t="shared" si="6" ref="H26:I29">SUM(B26,E26)</f>
        <v>114</v>
      </c>
      <c r="I26" s="16">
        <f t="shared" si="6"/>
        <v>3068</v>
      </c>
      <c r="J26" s="16">
        <f>SUM(H26:I26)</f>
        <v>3182</v>
      </c>
    </row>
    <row r="27" spans="1:10" ht="12.75">
      <c r="A27" s="2" t="s">
        <v>39</v>
      </c>
      <c r="B27" s="17">
        <f t="shared" si="4"/>
        <v>171</v>
      </c>
      <c r="C27" s="16">
        <f t="shared" si="4"/>
        <v>8873</v>
      </c>
      <c r="D27" s="16">
        <f>SUM(B27:C27)</f>
        <v>9044</v>
      </c>
      <c r="E27" s="17">
        <f t="shared" si="5"/>
        <v>165</v>
      </c>
      <c r="F27" s="16">
        <f t="shared" si="5"/>
        <v>3828</v>
      </c>
      <c r="G27" s="16">
        <f>SUM(E27:F27)</f>
        <v>3993</v>
      </c>
      <c r="H27" s="17">
        <f t="shared" si="6"/>
        <v>336</v>
      </c>
      <c r="I27" s="16">
        <f t="shared" si="6"/>
        <v>12701</v>
      </c>
      <c r="J27" s="16">
        <f>SUM(H27:I27)</f>
        <v>13037</v>
      </c>
    </row>
    <row r="28" spans="1:10" ht="12.75">
      <c r="A28" s="2" t="s">
        <v>40</v>
      </c>
      <c r="B28" s="17">
        <f t="shared" si="4"/>
        <v>0</v>
      </c>
      <c r="C28" s="16">
        <f t="shared" si="4"/>
        <v>9</v>
      </c>
      <c r="D28" s="16">
        <f>SUM(B28:C28)</f>
        <v>9</v>
      </c>
      <c r="E28" s="17">
        <f t="shared" si="5"/>
        <v>1</v>
      </c>
      <c r="F28" s="16">
        <f t="shared" si="5"/>
        <v>6</v>
      </c>
      <c r="G28" s="16">
        <f>SUM(E28:F28)</f>
        <v>7</v>
      </c>
      <c r="H28" s="17">
        <f t="shared" si="6"/>
        <v>1</v>
      </c>
      <c r="I28" s="16">
        <f t="shared" si="6"/>
        <v>15</v>
      </c>
      <c r="J28" s="16">
        <f>SUM(H28:I28)</f>
        <v>16</v>
      </c>
    </row>
    <row r="29" spans="1:10" ht="12.75">
      <c r="A29" s="2" t="s">
        <v>41</v>
      </c>
      <c r="B29" s="17">
        <f t="shared" si="4"/>
        <v>77</v>
      </c>
      <c r="C29" s="16">
        <f t="shared" si="4"/>
        <v>3275</v>
      </c>
      <c r="D29" s="16">
        <f>SUM(B29:C29)</f>
        <v>3352</v>
      </c>
      <c r="E29" s="17">
        <f t="shared" si="5"/>
        <v>70</v>
      </c>
      <c r="F29" s="16">
        <f t="shared" si="5"/>
        <v>1469</v>
      </c>
      <c r="G29" s="16">
        <f>SUM(E29:F29)</f>
        <v>1539</v>
      </c>
      <c r="H29" s="17">
        <f t="shared" si="6"/>
        <v>147</v>
      </c>
      <c r="I29" s="16">
        <f t="shared" si="6"/>
        <v>4744</v>
      </c>
      <c r="J29" s="16">
        <f>SUM(H29:I29)</f>
        <v>4891</v>
      </c>
    </row>
    <row r="30" spans="1:10" s="1" customFormat="1" ht="12.75">
      <c r="A30" s="13" t="s">
        <v>5</v>
      </c>
      <c r="B30" s="19">
        <f aca="true" t="shared" si="7" ref="B30:J30">SUM(B26:B29)</f>
        <v>295</v>
      </c>
      <c r="C30" s="20">
        <f t="shared" si="7"/>
        <v>14231</v>
      </c>
      <c r="D30" s="20">
        <f>SUM(B30:C30)</f>
        <v>14526</v>
      </c>
      <c r="E30" s="19">
        <f t="shared" si="7"/>
        <v>303</v>
      </c>
      <c r="F30" s="20">
        <f t="shared" si="7"/>
        <v>6297</v>
      </c>
      <c r="G30" s="20">
        <f>SUM(E30:F30)</f>
        <v>6600</v>
      </c>
      <c r="H30" s="19">
        <f t="shared" si="7"/>
        <v>598</v>
      </c>
      <c r="I30" s="20">
        <f t="shared" si="7"/>
        <v>20528</v>
      </c>
      <c r="J30" s="20">
        <f t="shared" si="7"/>
        <v>21126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f>622</f>
        <v>622</v>
      </c>
      <c r="C34" s="16">
        <f>3110</f>
        <v>3110</v>
      </c>
      <c r="D34" s="16">
        <f>SUM(B34:C34)</f>
        <v>3732</v>
      </c>
      <c r="E34" s="17">
        <f>307</f>
        <v>307</v>
      </c>
      <c r="F34" s="16">
        <f>1320</f>
        <v>1320</v>
      </c>
      <c r="G34" s="16">
        <f>SUM(E34:F34)</f>
        <v>1627</v>
      </c>
      <c r="H34" s="17">
        <f aca="true" t="shared" si="8" ref="H34:I37">SUM(B34,E34)</f>
        <v>929</v>
      </c>
      <c r="I34" s="16">
        <f t="shared" si="8"/>
        <v>4430</v>
      </c>
      <c r="J34" s="16">
        <f>SUM(H34:I34)</f>
        <v>5359</v>
      </c>
    </row>
    <row r="35" spans="1:10" ht="12.75">
      <c r="A35" s="2" t="s">
        <v>39</v>
      </c>
      <c r="B35" s="15">
        <f>3698</f>
        <v>3698</v>
      </c>
      <c r="C35" s="16">
        <f>12408</f>
        <v>12408</v>
      </c>
      <c r="D35" s="16">
        <f>SUM(B35:C35)</f>
        <v>16106</v>
      </c>
      <c r="E35" s="17">
        <f>852</f>
        <v>852</v>
      </c>
      <c r="F35" s="16">
        <f>4484</f>
        <v>4484</v>
      </c>
      <c r="G35" s="16">
        <f>SUM(E35:F35)</f>
        <v>5336</v>
      </c>
      <c r="H35" s="17">
        <f t="shared" si="8"/>
        <v>4550</v>
      </c>
      <c r="I35" s="16">
        <f t="shared" si="8"/>
        <v>16892</v>
      </c>
      <c r="J35" s="16">
        <f>SUM(H35:I35)</f>
        <v>21442</v>
      </c>
    </row>
    <row r="36" spans="1:10" ht="12.75">
      <c r="A36" s="2" t="s">
        <v>40</v>
      </c>
      <c r="B36" s="15">
        <f>4</f>
        <v>4</v>
      </c>
      <c r="C36" s="18">
        <f>13</f>
        <v>13</v>
      </c>
      <c r="D36" s="16">
        <f>SUM(B36:C36)</f>
        <v>17</v>
      </c>
      <c r="E36" s="15">
        <f>0</f>
        <v>0</v>
      </c>
      <c r="F36" s="16">
        <f>5</f>
        <v>5</v>
      </c>
      <c r="G36" s="16">
        <f>SUM(E36:F36)</f>
        <v>5</v>
      </c>
      <c r="H36" s="17">
        <f t="shared" si="8"/>
        <v>4</v>
      </c>
      <c r="I36" s="16">
        <f t="shared" si="8"/>
        <v>18</v>
      </c>
      <c r="J36" s="16">
        <f>SUM(H36:I36)</f>
        <v>22</v>
      </c>
    </row>
    <row r="37" spans="1:10" ht="12.75">
      <c r="A37" s="2" t="s">
        <v>41</v>
      </c>
      <c r="B37" s="17">
        <f>1342</f>
        <v>1342</v>
      </c>
      <c r="C37" s="16">
        <f>4905</f>
        <v>4905</v>
      </c>
      <c r="D37" s="16">
        <f>SUM(B37:C37)</f>
        <v>6247</v>
      </c>
      <c r="E37" s="17">
        <f>397</f>
        <v>397</v>
      </c>
      <c r="F37" s="16">
        <f>1996</f>
        <v>1996</v>
      </c>
      <c r="G37" s="16">
        <f>SUM(E37:F37)</f>
        <v>2393</v>
      </c>
      <c r="H37" s="17">
        <f t="shared" si="8"/>
        <v>1739</v>
      </c>
      <c r="I37" s="16">
        <f t="shared" si="8"/>
        <v>6901</v>
      </c>
      <c r="J37" s="16">
        <f>SUM(H37:I37)</f>
        <v>8640</v>
      </c>
    </row>
    <row r="38" spans="1:10" s="1" customFormat="1" ht="12.75">
      <c r="A38" s="13" t="s">
        <v>5</v>
      </c>
      <c r="B38" s="19">
        <f>SUM(B34:B37)</f>
        <v>5666</v>
      </c>
      <c r="C38" s="20">
        <f aca="true" t="shared" si="9" ref="C38:J38">SUM(C34:C37)</f>
        <v>20436</v>
      </c>
      <c r="D38" s="20">
        <f t="shared" si="9"/>
        <v>26102</v>
      </c>
      <c r="E38" s="19">
        <f t="shared" si="9"/>
        <v>1556</v>
      </c>
      <c r="F38" s="20">
        <f t="shared" si="9"/>
        <v>7805</v>
      </c>
      <c r="G38" s="20">
        <f t="shared" si="9"/>
        <v>9361</v>
      </c>
      <c r="H38" s="19">
        <f t="shared" si="9"/>
        <v>7222</v>
      </c>
      <c r="I38" s="20">
        <f t="shared" si="9"/>
        <v>28241</v>
      </c>
      <c r="J38" s="20">
        <f t="shared" si="9"/>
        <v>35463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f>206</f>
        <v>206</v>
      </c>
      <c r="C41" s="16">
        <f>950</f>
        <v>950</v>
      </c>
      <c r="D41" s="16">
        <f>SUM(B41:C41)</f>
        <v>1156</v>
      </c>
      <c r="E41" s="17">
        <f>80</f>
        <v>80</v>
      </c>
      <c r="F41" s="16">
        <f>341</f>
        <v>341</v>
      </c>
      <c r="G41" s="16">
        <f>SUM(E41:F41)</f>
        <v>421</v>
      </c>
      <c r="H41" s="17">
        <f aca="true" t="shared" si="10" ref="H41:I44">SUM(B41,E41)</f>
        <v>286</v>
      </c>
      <c r="I41" s="16">
        <f t="shared" si="10"/>
        <v>1291</v>
      </c>
      <c r="J41" s="16">
        <f>SUM(H41:I41)</f>
        <v>1577</v>
      </c>
    </row>
    <row r="42" spans="1:10" ht="12.75">
      <c r="A42" s="2" t="s">
        <v>39</v>
      </c>
      <c r="B42" s="15">
        <f>581</f>
        <v>581</v>
      </c>
      <c r="C42" s="18">
        <f>2297</f>
        <v>2297</v>
      </c>
      <c r="D42" s="16">
        <f>SUM(B42:C42)</f>
        <v>2878</v>
      </c>
      <c r="E42" s="17">
        <f>147</f>
        <v>147</v>
      </c>
      <c r="F42" s="16">
        <f>756</f>
        <v>756</v>
      </c>
      <c r="G42" s="16">
        <f>SUM(E42:F42)</f>
        <v>903</v>
      </c>
      <c r="H42" s="17">
        <f t="shared" si="10"/>
        <v>728</v>
      </c>
      <c r="I42" s="16">
        <f t="shared" si="10"/>
        <v>3053</v>
      </c>
      <c r="J42" s="16">
        <f>SUM(H42:I42)</f>
        <v>3781</v>
      </c>
    </row>
    <row r="43" spans="1:10" ht="12.75">
      <c r="A43" s="2" t="s">
        <v>40</v>
      </c>
      <c r="B43" s="15">
        <f>16</f>
        <v>16</v>
      </c>
      <c r="C43" s="21">
        <f>81</f>
        <v>81</v>
      </c>
      <c r="D43" s="16">
        <f>SUM(B43:C43)</f>
        <v>97</v>
      </c>
      <c r="E43" s="17">
        <f>2</f>
        <v>2</v>
      </c>
      <c r="F43" s="21">
        <f>22</f>
        <v>22</v>
      </c>
      <c r="G43" s="16">
        <f>SUM(E43:F43)</f>
        <v>24</v>
      </c>
      <c r="H43" s="17">
        <f t="shared" si="10"/>
        <v>18</v>
      </c>
      <c r="I43" s="16">
        <f t="shared" si="10"/>
        <v>103</v>
      </c>
      <c r="J43" s="16">
        <f>SUM(H43:I43)</f>
        <v>121</v>
      </c>
    </row>
    <row r="44" spans="1:10" ht="12.75">
      <c r="A44" s="2" t="s">
        <v>41</v>
      </c>
      <c r="B44" s="15">
        <f>99</f>
        <v>99</v>
      </c>
      <c r="C44" s="18">
        <f>554</f>
        <v>554</v>
      </c>
      <c r="D44" s="16">
        <f>SUM(B44:C44)</f>
        <v>653</v>
      </c>
      <c r="E44" s="17">
        <f>42</f>
        <v>42</v>
      </c>
      <c r="F44" s="16">
        <f>169</f>
        <v>169</v>
      </c>
      <c r="G44" s="16">
        <f>SUM(E44:F44)</f>
        <v>211</v>
      </c>
      <c r="H44" s="17">
        <f t="shared" si="10"/>
        <v>141</v>
      </c>
      <c r="I44" s="16">
        <f t="shared" si="10"/>
        <v>723</v>
      </c>
      <c r="J44" s="16">
        <f>SUM(H44:I44)</f>
        <v>864</v>
      </c>
    </row>
    <row r="45" spans="1:10" s="1" customFormat="1" ht="12.75">
      <c r="A45" s="13" t="s">
        <v>5</v>
      </c>
      <c r="B45" s="22">
        <f aca="true" t="shared" si="11" ref="B45:J45">SUM(B41:B44)</f>
        <v>902</v>
      </c>
      <c r="C45" s="20">
        <f t="shared" si="11"/>
        <v>3882</v>
      </c>
      <c r="D45" s="20">
        <f t="shared" si="11"/>
        <v>4784</v>
      </c>
      <c r="E45" s="19">
        <f t="shared" si="11"/>
        <v>271</v>
      </c>
      <c r="F45" s="20">
        <f t="shared" si="11"/>
        <v>1288</v>
      </c>
      <c r="G45" s="20">
        <f t="shared" si="11"/>
        <v>1559</v>
      </c>
      <c r="H45" s="19">
        <f t="shared" si="11"/>
        <v>1173</v>
      </c>
      <c r="I45" s="20">
        <f t="shared" si="11"/>
        <v>5170</v>
      </c>
      <c r="J45" s="20">
        <f t="shared" si="11"/>
        <v>6343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828</v>
      </c>
      <c r="C48" s="16">
        <f t="shared" si="12"/>
        <v>4060</v>
      </c>
      <c r="D48" s="16">
        <f>SUM(B48:C48)</f>
        <v>4888</v>
      </c>
      <c r="E48" s="17">
        <f aca="true" t="shared" si="13" ref="E48:F51">SUM(E34,E41)</f>
        <v>387</v>
      </c>
      <c r="F48" s="16">
        <f t="shared" si="13"/>
        <v>1661</v>
      </c>
      <c r="G48" s="16">
        <f>SUM(E48:F48)</f>
        <v>2048</v>
      </c>
      <c r="H48" s="17">
        <f aca="true" t="shared" si="14" ref="H48:I51">SUM(B48,E48)</f>
        <v>1215</v>
      </c>
      <c r="I48" s="16">
        <f t="shared" si="14"/>
        <v>5721</v>
      </c>
      <c r="J48" s="16">
        <f>SUM(H48:I48)</f>
        <v>6936</v>
      </c>
    </row>
    <row r="49" spans="1:10" ht="12.75">
      <c r="A49" s="2" t="s">
        <v>39</v>
      </c>
      <c r="B49" s="17">
        <f t="shared" si="12"/>
        <v>4279</v>
      </c>
      <c r="C49" s="16">
        <f t="shared" si="12"/>
        <v>14705</v>
      </c>
      <c r="D49" s="16">
        <f>SUM(B49:C49)</f>
        <v>18984</v>
      </c>
      <c r="E49" s="17">
        <f t="shared" si="13"/>
        <v>999</v>
      </c>
      <c r="F49" s="16">
        <f t="shared" si="13"/>
        <v>5240</v>
      </c>
      <c r="G49" s="16">
        <f>SUM(E49:F49)</f>
        <v>6239</v>
      </c>
      <c r="H49" s="17">
        <f t="shared" si="14"/>
        <v>5278</v>
      </c>
      <c r="I49" s="16">
        <f t="shared" si="14"/>
        <v>19945</v>
      </c>
      <c r="J49" s="16">
        <f>SUM(H49:I49)</f>
        <v>25223</v>
      </c>
    </row>
    <row r="50" spans="1:10" ht="12.75">
      <c r="A50" s="2" t="s">
        <v>40</v>
      </c>
      <c r="B50" s="17">
        <f t="shared" si="12"/>
        <v>20</v>
      </c>
      <c r="C50" s="16">
        <f t="shared" si="12"/>
        <v>94</v>
      </c>
      <c r="D50" s="16">
        <f>SUM(B50:C50)</f>
        <v>114</v>
      </c>
      <c r="E50" s="17">
        <f t="shared" si="13"/>
        <v>2</v>
      </c>
      <c r="F50" s="16">
        <f t="shared" si="13"/>
        <v>27</v>
      </c>
      <c r="G50" s="16">
        <f>SUM(E50:F50)</f>
        <v>29</v>
      </c>
      <c r="H50" s="17">
        <f t="shared" si="14"/>
        <v>22</v>
      </c>
      <c r="I50" s="16">
        <f t="shared" si="14"/>
        <v>121</v>
      </c>
      <c r="J50" s="16">
        <f>SUM(H50:I50)</f>
        <v>143</v>
      </c>
    </row>
    <row r="51" spans="1:10" ht="12.75">
      <c r="A51" s="2" t="s">
        <v>41</v>
      </c>
      <c r="B51" s="17">
        <f t="shared" si="12"/>
        <v>1441</v>
      </c>
      <c r="C51" s="16">
        <f t="shared" si="12"/>
        <v>5459</v>
      </c>
      <c r="D51" s="16">
        <f>SUM(B51:C51)</f>
        <v>6900</v>
      </c>
      <c r="E51" s="17">
        <f t="shared" si="13"/>
        <v>439</v>
      </c>
      <c r="F51" s="16">
        <f t="shared" si="13"/>
        <v>2165</v>
      </c>
      <c r="G51" s="16">
        <f>SUM(E51:F51)</f>
        <v>2604</v>
      </c>
      <c r="H51" s="17">
        <f t="shared" si="14"/>
        <v>1880</v>
      </c>
      <c r="I51" s="16">
        <f t="shared" si="14"/>
        <v>7624</v>
      </c>
      <c r="J51" s="16">
        <f>SUM(H51:I51)</f>
        <v>9504</v>
      </c>
    </row>
    <row r="52" spans="1:10" s="1" customFormat="1" ht="12.75">
      <c r="A52" s="13" t="s">
        <v>5</v>
      </c>
      <c r="B52" s="19">
        <f>SUM(B48:B51)</f>
        <v>6568</v>
      </c>
      <c r="C52" s="20">
        <f>SUM(C48:C51)</f>
        <v>24318</v>
      </c>
      <c r="D52" s="20">
        <f>SUM(B52:C52)</f>
        <v>30886</v>
      </c>
      <c r="E52" s="19">
        <f>SUM(E48:E51)</f>
        <v>1827</v>
      </c>
      <c r="F52" s="20">
        <f>SUM(F48:F51)</f>
        <v>9093</v>
      </c>
      <c r="G52" s="20">
        <f>SUM(E52:F52)</f>
        <v>10920</v>
      </c>
      <c r="H52" s="19">
        <f>SUM(H48:H51)</f>
        <v>8395</v>
      </c>
      <c r="I52" s="20">
        <f>SUM(I48:I51)</f>
        <v>33411</v>
      </c>
      <c r="J52" s="20">
        <f>SUM(J48:J51)</f>
        <v>41806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669</v>
      </c>
      <c r="C56" s="21">
        <f t="shared" si="15"/>
        <v>5074</v>
      </c>
      <c r="D56" s="16">
        <f>SUM(B56:C56)</f>
        <v>5743</v>
      </c>
      <c r="E56" s="17">
        <f aca="true" t="shared" si="16" ref="E56:F59">E12+E34</f>
        <v>374</v>
      </c>
      <c r="F56" s="109">
        <f t="shared" si="16"/>
        <v>2266</v>
      </c>
      <c r="G56" s="16">
        <f>SUM(E56:F56)</f>
        <v>2640</v>
      </c>
      <c r="H56" s="17">
        <f aca="true" t="shared" si="17" ref="H56:I59">SUM(B56,E56)</f>
        <v>1043</v>
      </c>
      <c r="I56" s="16">
        <f t="shared" si="17"/>
        <v>7340</v>
      </c>
      <c r="J56" s="16">
        <f>SUM(H56:I56)</f>
        <v>8383</v>
      </c>
    </row>
    <row r="57" spans="1:10" ht="12.75">
      <c r="A57" s="2" t="s">
        <v>39</v>
      </c>
      <c r="B57" s="15">
        <f t="shared" si="15"/>
        <v>3861</v>
      </c>
      <c r="C57" s="21">
        <f t="shared" si="15"/>
        <v>21006</v>
      </c>
      <c r="D57" s="16">
        <f>SUM(B57:C57)</f>
        <v>24867</v>
      </c>
      <c r="E57" s="17">
        <f t="shared" si="16"/>
        <v>1012</v>
      </c>
      <c r="F57" s="109">
        <f t="shared" si="16"/>
        <v>8217</v>
      </c>
      <c r="G57" s="16">
        <f>SUM(E57:F57)</f>
        <v>9229</v>
      </c>
      <c r="H57" s="17">
        <f t="shared" si="17"/>
        <v>4873</v>
      </c>
      <c r="I57" s="16">
        <f t="shared" si="17"/>
        <v>29223</v>
      </c>
      <c r="J57" s="16">
        <f>SUM(H57:I57)</f>
        <v>34096</v>
      </c>
    </row>
    <row r="58" spans="1:10" ht="12.75">
      <c r="A58" s="2" t="s">
        <v>40</v>
      </c>
      <c r="B58" s="15">
        <f t="shared" si="15"/>
        <v>4</v>
      </c>
      <c r="C58" s="21">
        <f t="shared" si="15"/>
        <v>22</v>
      </c>
      <c r="D58" s="16">
        <f>SUM(B58:C58)</f>
        <v>26</v>
      </c>
      <c r="E58" s="17">
        <f t="shared" si="16"/>
        <v>1</v>
      </c>
      <c r="F58" s="109">
        <f t="shared" si="16"/>
        <v>11</v>
      </c>
      <c r="G58" s="16">
        <f>SUM(E58:F58)</f>
        <v>12</v>
      </c>
      <c r="H58" s="17">
        <f t="shared" si="17"/>
        <v>5</v>
      </c>
      <c r="I58" s="16">
        <f t="shared" si="17"/>
        <v>33</v>
      </c>
      <c r="J58" s="16">
        <f>SUM(H58:I58)</f>
        <v>38</v>
      </c>
    </row>
    <row r="59" spans="1:10" ht="12.75">
      <c r="A59" s="2" t="s">
        <v>41</v>
      </c>
      <c r="B59" s="110">
        <f t="shared" si="15"/>
        <v>1419</v>
      </c>
      <c r="C59" s="21">
        <f t="shared" si="15"/>
        <v>8143</v>
      </c>
      <c r="D59" s="16">
        <f>SUM(B59:C59)</f>
        <v>9562</v>
      </c>
      <c r="E59" s="111">
        <f t="shared" si="16"/>
        <v>466</v>
      </c>
      <c r="F59" s="109">
        <f t="shared" si="16"/>
        <v>3448</v>
      </c>
      <c r="G59" s="16">
        <f>SUM(E59:F59)</f>
        <v>3914</v>
      </c>
      <c r="H59" s="17">
        <f t="shared" si="17"/>
        <v>1885</v>
      </c>
      <c r="I59" s="16">
        <f t="shared" si="17"/>
        <v>11591</v>
      </c>
      <c r="J59" s="16">
        <f>SUM(H59:I59)</f>
        <v>13476</v>
      </c>
    </row>
    <row r="60" spans="1:10" s="1" customFormat="1" ht="12.75">
      <c r="A60" s="13" t="s">
        <v>5</v>
      </c>
      <c r="B60" s="19">
        <f>SUM(B56:B59)</f>
        <v>5953</v>
      </c>
      <c r="C60" s="20">
        <f aca="true" t="shared" si="18" ref="C60:J60">SUM(C56:C59)</f>
        <v>34245</v>
      </c>
      <c r="D60" s="20">
        <f t="shared" si="18"/>
        <v>40198</v>
      </c>
      <c r="E60" s="19">
        <f t="shared" si="18"/>
        <v>1853</v>
      </c>
      <c r="F60" s="20">
        <f t="shared" si="18"/>
        <v>13942</v>
      </c>
      <c r="G60" s="20">
        <f t="shared" si="18"/>
        <v>15795</v>
      </c>
      <c r="H60" s="19">
        <f t="shared" si="18"/>
        <v>7806</v>
      </c>
      <c r="I60" s="20">
        <f t="shared" si="18"/>
        <v>48187</v>
      </c>
      <c r="J60" s="20">
        <f t="shared" si="18"/>
        <v>55993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206</v>
      </c>
      <c r="C63" s="21">
        <f t="shared" si="19"/>
        <v>1060</v>
      </c>
      <c r="D63" s="16">
        <f>SUM(B63:C63)</f>
        <v>1266</v>
      </c>
      <c r="E63" s="17">
        <f aca="true" t="shared" si="20" ref="E63:F66">E19+E41</f>
        <v>80</v>
      </c>
      <c r="F63" s="109">
        <f t="shared" si="20"/>
        <v>389</v>
      </c>
      <c r="G63" s="16">
        <f>SUM(E63:F63)</f>
        <v>469</v>
      </c>
      <c r="H63" s="17">
        <f aca="true" t="shared" si="21" ref="H63:I66">SUM(B63,E63)</f>
        <v>286</v>
      </c>
      <c r="I63" s="16">
        <f t="shared" si="21"/>
        <v>1449</v>
      </c>
      <c r="J63" s="16">
        <f>SUM(H63:I63)</f>
        <v>1735</v>
      </c>
    </row>
    <row r="64" spans="1:10" ht="12.75">
      <c r="A64" s="2" t="s">
        <v>39</v>
      </c>
      <c r="B64" s="15">
        <f t="shared" si="19"/>
        <v>589</v>
      </c>
      <c r="C64" s="21">
        <f t="shared" si="19"/>
        <v>2572</v>
      </c>
      <c r="D64" s="16">
        <f>SUM(B64:C64)</f>
        <v>3161</v>
      </c>
      <c r="E64" s="17">
        <f t="shared" si="20"/>
        <v>152</v>
      </c>
      <c r="F64" s="109">
        <f t="shared" si="20"/>
        <v>851</v>
      </c>
      <c r="G64" s="16">
        <f>SUM(E64:F64)</f>
        <v>1003</v>
      </c>
      <c r="H64" s="17">
        <f t="shared" si="21"/>
        <v>741</v>
      </c>
      <c r="I64" s="16">
        <f t="shared" si="21"/>
        <v>3423</v>
      </c>
      <c r="J64" s="16">
        <f>SUM(H64:I64)</f>
        <v>4164</v>
      </c>
    </row>
    <row r="65" spans="1:10" ht="12.75">
      <c r="A65" s="2" t="s">
        <v>40</v>
      </c>
      <c r="B65" s="15">
        <f t="shared" si="19"/>
        <v>16</v>
      </c>
      <c r="C65" s="21">
        <f t="shared" si="19"/>
        <v>81</v>
      </c>
      <c r="D65" s="16">
        <f>SUM(B65:C65)</f>
        <v>97</v>
      </c>
      <c r="E65" s="17">
        <f t="shared" si="20"/>
        <v>2</v>
      </c>
      <c r="F65" s="109">
        <f t="shared" si="20"/>
        <v>22</v>
      </c>
      <c r="G65" s="16">
        <f>SUM(E65:F65)</f>
        <v>24</v>
      </c>
      <c r="H65" s="17">
        <f t="shared" si="21"/>
        <v>18</v>
      </c>
      <c r="I65" s="16">
        <f t="shared" si="21"/>
        <v>103</v>
      </c>
      <c r="J65" s="16">
        <f>SUM(H65:I65)</f>
        <v>121</v>
      </c>
    </row>
    <row r="66" spans="1:10" ht="12.75">
      <c r="A66" s="2" t="s">
        <v>41</v>
      </c>
      <c r="B66" s="110">
        <f t="shared" si="19"/>
        <v>99</v>
      </c>
      <c r="C66" s="21">
        <f t="shared" si="19"/>
        <v>591</v>
      </c>
      <c r="D66" s="16">
        <f>SUM(B66:C66)</f>
        <v>690</v>
      </c>
      <c r="E66" s="111">
        <f t="shared" si="20"/>
        <v>43</v>
      </c>
      <c r="F66" s="109">
        <f t="shared" si="20"/>
        <v>186</v>
      </c>
      <c r="G66" s="16">
        <f>SUM(E66:F66)</f>
        <v>229</v>
      </c>
      <c r="H66" s="17">
        <f t="shared" si="21"/>
        <v>142</v>
      </c>
      <c r="I66" s="16">
        <f t="shared" si="21"/>
        <v>777</v>
      </c>
      <c r="J66" s="16">
        <f>SUM(H66:I66)</f>
        <v>919</v>
      </c>
    </row>
    <row r="67" spans="1:10" s="1" customFormat="1" ht="12.75">
      <c r="A67" s="13" t="s">
        <v>5</v>
      </c>
      <c r="B67" s="22">
        <f aca="true" t="shared" si="22" ref="B67:J67">SUM(B63:B66)</f>
        <v>910</v>
      </c>
      <c r="C67" s="20">
        <f t="shared" si="22"/>
        <v>4304</v>
      </c>
      <c r="D67" s="20">
        <f t="shared" si="22"/>
        <v>5214</v>
      </c>
      <c r="E67" s="19">
        <f t="shared" si="22"/>
        <v>277</v>
      </c>
      <c r="F67" s="20">
        <f t="shared" si="22"/>
        <v>1448</v>
      </c>
      <c r="G67" s="20">
        <f t="shared" si="22"/>
        <v>1725</v>
      </c>
      <c r="H67" s="19">
        <f t="shared" si="22"/>
        <v>1187</v>
      </c>
      <c r="I67" s="20">
        <f t="shared" si="22"/>
        <v>5752</v>
      </c>
      <c r="J67" s="20">
        <f t="shared" si="22"/>
        <v>6939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875</v>
      </c>
      <c r="C70" s="16">
        <f t="shared" si="23"/>
        <v>6134</v>
      </c>
      <c r="D70" s="16">
        <f>SUM(B70:C70)</f>
        <v>7009</v>
      </c>
      <c r="E70" s="17">
        <f aca="true" t="shared" si="24" ref="E70:F73">SUM(E56,E63)</f>
        <v>454</v>
      </c>
      <c r="F70" s="16">
        <f t="shared" si="24"/>
        <v>2655</v>
      </c>
      <c r="G70" s="16">
        <f>SUM(E70:F70)</f>
        <v>3109</v>
      </c>
      <c r="H70" s="17">
        <f aca="true" t="shared" si="25" ref="H70:I73">SUM(B70,E70)</f>
        <v>1329</v>
      </c>
      <c r="I70" s="16">
        <f t="shared" si="25"/>
        <v>8789</v>
      </c>
      <c r="J70" s="16">
        <f>SUM(H70:I70)</f>
        <v>10118</v>
      </c>
    </row>
    <row r="71" spans="1:10" ht="12.75">
      <c r="A71" s="2" t="s">
        <v>39</v>
      </c>
      <c r="B71" s="17">
        <f t="shared" si="23"/>
        <v>4450</v>
      </c>
      <c r="C71" s="16">
        <f t="shared" si="23"/>
        <v>23578</v>
      </c>
      <c r="D71" s="16">
        <f>SUM(B71:C71)</f>
        <v>28028</v>
      </c>
      <c r="E71" s="17">
        <f t="shared" si="24"/>
        <v>1164</v>
      </c>
      <c r="F71" s="16">
        <f t="shared" si="24"/>
        <v>9068</v>
      </c>
      <c r="G71" s="16">
        <f>SUM(E71:F71)</f>
        <v>10232</v>
      </c>
      <c r="H71" s="17">
        <f t="shared" si="25"/>
        <v>5614</v>
      </c>
      <c r="I71" s="16">
        <f t="shared" si="25"/>
        <v>32646</v>
      </c>
      <c r="J71" s="16">
        <f>SUM(H71:I71)</f>
        <v>38260</v>
      </c>
    </row>
    <row r="72" spans="1:10" ht="12.75">
      <c r="A72" s="2" t="s">
        <v>40</v>
      </c>
      <c r="B72" s="17">
        <f t="shared" si="23"/>
        <v>20</v>
      </c>
      <c r="C72" s="16">
        <f t="shared" si="23"/>
        <v>103</v>
      </c>
      <c r="D72" s="16">
        <f>SUM(B72:C72)</f>
        <v>123</v>
      </c>
      <c r="E72" s="17">
        <f t="shared" si="24"/>
        <v>3</v>
      </c>
      <c r="F72" s="16">
        <f t="shared" si="24"/>
        <v>33</v>
      </c>
      <c r="G72" s="16">
        <f>SUM(E72:F72)</f>
        <v>36</v>
      </c>
      <c r="H72" s="17">
        <f t="shared" si="25"/>
        <v>23</v>
      </c>
      <c r="I72" s="16">
        <f t="shared" si="25"/>
        <v>136</v>
      </c>
      <c r="J72" s="16">
        <f>SUM(H72:I72)</f>
        <v>159</v>
      </c>
    </row>
    <row r="73" spans="1:10" ht="12.75">
      <c r="A73" s="2" t="s">
        <v>41</v>
      </c>
      <c r="B73" s="17">
        <f t="shared" si="23"/>
        <v>1518</v>
      </c>
      <c r="C73" s="16">
        <f t="shared" si="23"/>
        <v>8734</v>
      </c>
      <c r="D73" s="16">
        <f>SUM(B73:C73)</f>
        <v>10252</v>
      </c>
      <c r="E73" s="17">
        <f t="shared" si="24"/>
        <v>509</v>
      </c>
      <c r="F73" s="16">
        <f t="shared" si="24"/>
        <v>3634</v>
      </c>
      <c r="G73" s="16">
        <f>SUM(E73:F73)</f>
        <v>4143</v>
      </c>
      <c r="H73" s="17">
        <f t="shared" si="25"/>
        <v>2027</v>
      </c>
      <c r="I73" s="16">
        <f t="shared" si="25"/>
        <v>12368</v>
      </c>
      <c r="J73" s="16">
        <f>SUM(H73:I73)</f>
        <v>14395</v>
      </c>
    </row>
    <row r="74" spans="1:10" s="1" customFormat="1" ht="12.75">
      <c r="A74" s="13" t="s">
        <v>5</v>
      </c>
      <c r="B74" s="19">
        <f>SUM(B70:B73)</f>
        <v>6863</v>
      </c>
      <c r="C74" s="20">
        <f>SUM(C70:C73)</f>
        <v>38549</v>
      </c>
      <c r="D74" s="20">
        <f>SUM(B74:C74)</f>
        <v>45412</v>
      </c>
      <c r="E74" s="19">
        <f>SUM(E70:E73)</f>
        <v>2130</v>
      </c>
      <c r="F74" s="20">
        <f>SUM(F70:F73)</f>
        <v>15390</v>
      </c>
      <c r="G74" s="20">
        <f>SUM(E74:F74)</f>
        <v>17520</v>
      </c>
      <c r="H74" s="19">
        <f>SUM(H70:H73)</f>
        <v>8993</v>
      </c>
      <c r="I74" s="20">
        <f>SUM(I70:I73)</f>
        <v>53939</v>
      </c>
      <c r="J74" s="20">
        <f>SUM(J70:J73)</f>
        <v>62932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M36" sqref="M36"/>
    </sheetView>
  </sheetViews>
  <sheetFormatPr defaultColWidth="9.140625" defaultRowHeight="12" customHeight="1"/>
  <cols>
    <col min="1" max="1" width="32.57421875" style="25" customWidth="1"/>
    <col min="2" max="2" width="9.140625" style="25" customWidth="1"/>
    <col min="3" max="3" width="10.28125" style="25" customWidth="1"/>
    <col min="4" max="16384" width="9.140625" style="25" customWidth="1"/>
  </cols>
  <sheetData>
    <row r="1" spans="1:10" ht="12" customHeight="1">
      <c r="A1" s="23" t="s">
        <v>51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12" customHeight="1">
      <c r="A2" s="26" t="s">
        <v>15</v>
      </c>
      <c r="B2" s="27"/>
      <c r="C2" s="27"/>
      <c r="D2" s="27"/>
      <c r="E2" s="28"/>
      <c r="F2" s="28"/>
      <c r="G2" s="27"/>
      <c r="H2" s="27"/>
      <c r="I2" s="27"/>
      <c r="J2" s="27"/>
    </row>
    <row r="3" spans="1:10" ht="12" customHeight="1">
      <c r="A3" s="27"/>
      <c r="B3" s="27"/>
      <c r="C3" s="27"/>
      <c r="D3" s="27"/>
      <c r="E3" s="28"/>
      <c r="F3" s="26"/>
      <c r="G3" s="27"/>
      <c r="H3" s="27"/>
      <c r="I3" s="27"/>
      <c r="J3" s="27"/>
    </row>
    <row r="4" spans="1:10" ht="12" customHeight="1">
      <c r="A4" s="26" t="s">
        <v>53</v>
      </c>
      <c r="B4" s="27"/>
      <c r="C4" s="27"/>
      <c r="D4" s="27"/>
      <c r="E4" s="28"/>
      <c r="F4" s="28"/>
      <c r="G4" s="27"/>
      <c r="H4" s="27"/>
      <c r="I4" s="27"/>
      <c r="J4" s="27"/>
    </row>
    <row r="5" spans="1:10" ht="12" customHeight="1">
      <c r="A5" s="26"/>
      <c r="B5" s="27"/>
      <c r="C5" s="27"/>
      <c r="D5" s="27"/>
      <c r="E5" s="28"/>
      <c r="F5" s="28"/>
      <c r="G5" s="27"/>
      <c r="H5" s="27"/>
      <c r="I5" s="27"/>
      <c r="J5" s="27"/>
    </row>
    <row r="6" spans="1:10" ht="12" customHeight="1">
      <c r="A6" s="26" t="s">
        <v>16</v>
      </c>
      <c r="B6" s="27"/>
      <c r="C6" s="27"/>
      <c r="D6" s="27"/>
      <c r="E6" s="28"/>
      <c r="F6" s="26"/>
      <c r="G6" s="27"/>
      <c r="H6" s="27"/>
      <c r="I6" s="27"/>
      <c r="J6" s="27"/>
    </row>
    <row r="7" spans="1:10" ht="12" customHeight="1">
      <c r="A7" s="26"/>
      <c r="B7" s="27"/>
      <c r="C7" s="27"/>
      <c r="D7" s="27"/>
      <c r="E7" s="28"/>
      <c r="F7" s="26"/>
      <c r="G7" s="27"/>
      <c r="H7" s="27"/>
      <c r="I7" s="27"/>
      <c r="J7" s="27"/>
    </row>
    <row r="8" spans="1:10" ht="12" customHeight="1">
      <c r="A8" s="26" t="s">
        <v>63</v>
      </c>
      <c r="B8" s="29"/>
      <c r="C8" s="26"/>
      <c r="D8" s="26"/>
      <c r="E8" s="29"/>
      <c r="F8" s="26"/>
      <c r="G8" s="26"/>
      <c r="H8" s="26"/>
      <c r="I8" s="26"/>
      <c r="J8" s="26"/>
    </row>
    <row r="9" spans="1:10" ht="12" customHeight="1" thickBot="1">
      <c r="A9" s="24"/>
      <c r="B9" s="24"/>
      <c r="C9" s="24"/>
      <c r="D9" s="24"/>
      <c r="E9" s="24"/>
      <c r="F9" s="24"/>
      <c r="G9" s="24"/>
      <c r="H9" s="24"/>
      <c r="I9" s="24"/>
      <c r="J9" s="24"/>
    </row>
    <row r="10" spans="1:10" ht="12" customHeight="1">
      <c r="A10" s="30"/>
      <c r="B10" s="31" t="s">
        <v>3</v>
      </c>
      <c r="C10" s="32"/>
      <c r="D10" s="32"/>
      <c r="E10" s="31" t="s">
        <v>4</v>
      </c>
      <c r="F10" s="32"/>
      <c r="G10" s="32"/>
      <c r="H10" s="31" t="s">
        <v>5</v>
      </c>
      <c r="I10" s="32"/>
      <c r="J10" s="32"/>
    </row>
    <row r="11" spans="1:10" ht="12" customHeight="1">
      <c r="A11" s="120" t="s">
        <v>17</v>
      </c>
      <c r="B11" s="107" t="s">
        <v>6</v>
      </c>
      <c r="C11" s="108" t="s">
        <v>7</v>
      </c>
      <c r="D11" s="108" t="s">
        <v>5</v>
      </c>
      <c r="E11" s="107" t="s">
        <v>6</v>
      </c>
      <c r="F11" s="108" t="s">
        <v>7</v>
      </c>
      <c r="G11" s="108" t="s">
        <v>5</v>
      </c>
      <c r="H11" s="107" t="s">
        <v>6</v>
      </c>
      <c r="I11" s="108" t="s">
        <v>7</v>
      </c>
      <c r="J11" s="108" t="s">
        <v>5</v>
      </c>
    </row>
    <row r="12" spans="1:10" ht="12" customHeight="1">
      <c r="A12" s="33"/>
      <c r="B12" s="34"/>
      <c r="C12" s="33"/>
      <c r="D12" s="33"/>
      <c r="E12" s="34"/>
      <c r="F12" s="33"/>
      <c r="G12" s="33"/>
      <c r="H12" s="34"/>
      <c r="I12" s="33"/>
      <c r="J12" s="33"/>
    </row>
    <row r="13" spans="1:10" ht="12" customHeight="1">
      <c r="A13" s="24" t="s">
        <v>18</v>
      </c>
      <c r="B13" s="35">
        <f aca="true" t="shared" si="0" ref="B13:J13">SUM(B36,B52,B68,B84)</f>
        <v>0</v>
      </c>
      <c r="C13" s="36">
        <f>SUM(C36,C52,C68,C84)</f>
        <v>0</v>
      </c>
      <c r="D13" s="36">
        <f t="shared" si="0"/>
        <v>0</v>
      </c>
      <c r="E13" s="35">
        <f t="shared" si="0"/>
        <v>351</v>
      </c>
      <c r="F13" s="36">
        <f t="shared" si="0"/>
        <v>2999</v>
      </c>
      <c r="G13" s="36">
        <f t="shared" si="0"/>
        <v>3350</v>
      </c>
      <c r="H13" s="35">
        <f t="shared" si="0"/>
        <v>351</v>
      </c>
      <c r="I13" s="36">
        <f t="shared" si="0"/>
        <v>2999</v>
      </c>
      <c r="J13" s="36">
        <f t="shared" si="0"/>
        <v>3350</v>
      </c>
    </row>
    <row r="14" spans="1:10" ht="12" customHeight="1">
      <c r="A14" s="24" t="s">
        <v>19</v>
      </c>
      <c r="B14" s="35">
        <f aca="true" t="shared" si="1" ref="B14:J14">SUM(B37,B53,B69,B85)</f>
        <v>153</v>
      </c>
      <c r="C14" s="36">
        <f t="shared" si="1"/>
        <v>1359</v>
      </c>
      <c r="D14" s="36">
        <f t="shared" si="1"/>
        <v>1512</v>
      </c>
      <c r="E14" s="35">
        <f t="shared" si="1"/>
        <v>776</v>
      </c>
      <c r="F14" s="36">
        <f t="shared" si="1"/>
        <v>5786</v>
      </c>
      <c r="G14" s="36">
        <f t="shared" si="1"/>
        <v>6562</v>
      </c>
      <c r="H14" s="35">
        <f t="shared" si="1"/>
        <v>929</v>
      </c>
      <c r="I14" s="36">
        <f t="shared" si="1"/>
        <v>7145</v>
      </c>
      <c r="J14" s="36">
        <f t="shared" si="1"/>
        <v>8074</v>
      </c>
    </row>
    <row r="15" spans="1:10" ht="12" customHeight="1">
      <c r="A15" s="24" t="s">
        <v>20</v>
      </c>
      <c r="B15" s="35">
        <f aca="true" t="shared" si="2" ref="B15:J15">SUM(B38,B54,B70,B86)</f>
        <v>597</v>
      </c>
      <c r="C15" s="36">
        <f t="shared" si="2"/>
        <v>4736</v>
      </c>
      <c r="D15" s="36">
        <f t="shared" si="2"/>
        <v>5333</v>
      </c>
      <c r="E15" s="35">
        <f t="shared" si="2"/>
        <v>404</v>
      </c>
      <c r="F15" s="36">
        <f t="shared" si="2"/>
        <v>2941</v>
      </c>
      <c r="G15" s="36">
        <f t="shared" si="2"/>
        <v>3345</v>
      </c>
      <c r="H15" s="35">
        <f t="shared" si="2"/>
        <v>1001</v>
      </c>
      <c r="I15" s="36">
        <f t="shared" si="2"/>
        <v>7677</v>
      </c>
      <c r="J15" s="36">
        <f t="shared" si="2"/>
        <v>8678</v>
      </c>
    </row>
    <row r="16" spans="1:10" ht="12" customHeight="1">
      <c r="A16" s="24" t="s">
        <v>21</v>
      </c>
      <c r="B16" s="37">
        <f aca="true" t="shared" si="3" ref="B16:J16">SUM(B39,B55,B71,B87)</f>
        <v>751</v>
      </c>
      <c r="C16" s="36">
        <f t="shared" si="3"/>
        <v>5584</v>
      </c>
      <c r="D16" s="36">
        <f t="shared" si="3"/>
        <v>6335</v>
      </c>
      <c r="E16" s="35">
        <f t="shared" si="3"/>
        <v>150</v>
      </c>
      <c r="F16" s="36">
        <f t="shared" si="3"/>
        <v>983</v>
      </c>
      <c r="G16" s="36">
        <f t="shared" si="3"/>
        <v>1133</v>
      </c>
      <c r="H16" s="35">
        <f t="shared" si="3"/>
        <v>901</v>
      </c>
      <c r="I16" s="36">
        <f t="shared" si="3"/>
        <v>6567</v>
      </c>
      <c r="J16" s="36">
        <f t="shared" si="3"/>
        <v>7468</v>
      </c>
    </row>
    <row r="17" spans="1:10" ht="12" customHeight="1">
      <c r="A17" s="24" t="s">
        <v>22</v>
      </c>
      <c r="B17" s="37">
        <f aca="true" t="shared" si="4" ref="B17:J17">SUM(B40,B56,B72,B88)</f>
        <v>603</v>
      </c>
      <c r="C17" s="36">
        <f t="shared" si="4"/>
        <v>5455</v>
      </c>
      <c r="D17" s="36">
        <f t="shared" si="4"/>
        <v>6058</v>
      </c>
      <c r="E17" s="35">
        <f t="shared" si="4"/>
        <v>61</v>
      </c>
      <c r="F17" s="36">
        <f t="shared" si="4"/>
        <v>515</v>
      </c>
      <c r="G17" s="36">
        <f t="shared" si="4"/>
        <v>576</v>
      </c>
      <c r="H17" s="35">
        <f t="shared" si="4"/>
        <v>664</v>
      </c>
      <c r="I17" s="36">
        <f t="shared" si="4"/>
        <v>5970</v>
      </c>
      <c r="J17" s="36">
        <f t="shared" si="4"/>
        <v>6634</v>
      </c>
    </row>
    <row r="18" spans="1:10" ht="12" customHeight="1">
      <c r="A18" s="24" t="s">
        <v>23</v>
      </c>
      <c r="B18" s="37">
        <f aca="true" t="shared" si="5" ref="B18:J18">SUM(B41,B57,B73,B89)</f>
        <v>920</v>
      </c>
      <c r="C18" s="36">
        <f t="shared" si="5"/>
        <v>6306</v>
      </c>
      <c r="D18" s="36">
        <f t="shared" si="5"/>
        <v>7226</v>
      </c>
      <c r="E18" s="35">
        <f t="shared" si="5"/>
        <v>37</v>
      </c>
      <c r="F18" s="36">
        <f t="shared" si="5"/>
        <v>330</v>
      </c>
      <c r="G18" s="36">
        <f t="shared" si="5"/>
        <v>367</v>
      </c>
      <c r="H18" s="35">
        <f t="shared" si="5"/>
        <v>957</v>
      </c>
      <c r="I18" s="36">
        <f t="shared" si="5"/>
        <v>6636</v>
      </c>
      <c r="J18" s="36">
        <f t="shared" si="5"/>
        <v>7593</v>
      </c>
    </row>
    <row r="19" spans="1:10" ht="12" customHeight="1">
      <c r="A19" s="24" t="s">
        <v>24</v>
      </c>
      <c r="B19" s="37">
        <f aca="true" t="shared" si="6" ref="B19:J19">SUM(B42,B58,B74,B90)</f>
        <v>1414</v>
      </c>
      <c r="C19" s="36">
        <f t="shared" si="6"/>
        <v>5931</v>
      </c>
      <c r="D19" s="36">
        <f t="shared" si="6"/>
        <v>7345</v>
      </c>
      <c r="E19" s="35">
        <f t="shared" si="6"/>
        <v>33</v>
      </c>
      <c r="F19" s="36">
        <f t="shared" si="6"/>
        <v>222</v>
      </c>
      <c r="G19" s="36">
        <f t="shared" si="6"/>
        <v>255</v>
      </c>
      <c r="H19" s="35">
        <f t="shared" si="6"/>
        <v>1447</v>
      </c>
      <c r="I19" s="36">
        <f t="shared" si="6"/>
        <v>6153</v>
      </c>
      <c r="J19" s="36">
        <f t="shared" si="6"/>
        <v>7600</v>
      </c>
    </row>
    <row r="20" spans="1:10" ht="12" customHeight="1">
      <c r="A20" s="24" t="s">
        <v>25</v>
      </c>
      <c r="B20" s="37">
        <f aca="true" t="shared" si="7" ref="B20:J20">SUM(B43,B59,B75,B91)</f>
        <v>1212</v>
      </c>
      <c r="C20" s="36">
        <f t="shared" si="7"/>
        <v>3949</v>
      </c>
      <c r="D20" s="36">
        <f t="shared" si="7"/>
        <v>5161</v>
      </c>
      <c r="E20" s="35">
        <f t="shared" si="7"/>
        <v>13</v>
      </c>
      <c r="F20" s="36">
        <f t="shared" si="7"/>
        <v>73</v>
      </c>
      <c r="G20" s="36">
        <f t="shared" si="7"/>
        <v>86</v>
      </c>
      <c r="H20" s="35">
        <f t="shared" si="7"/>
        <v>1225</v>
      </c>
      <c r="I20" s="36">
        <f t="shared" si="7"/>
        <v>4022</v>
      </c>
      <c r="J20" s="36">
        <f t="shared" si="7"/>
        <v>5247</v>
      </c>
    </row>
    <row r="21" spans="1:10" ht="12" customHeight="1">
      <c r="A21" s="24" t="s">
        <v>26</v>
      </c>
      <c r="B21" s="37">
        <f aca="true" t="shared" si="8" ref="B21:J21">SUM(B44,B60,B76,B92)</f>
        <v>303</v>
      </c>
      <c r="C21" s="36">
        <f t="shared" si="8"/>
        <v>925</v>
      </c>
      <c r="D21" s="38">
        <f t="shared" si="8"/>
        <v>1228</v>
      </c>
      <c r="E21" s="35">
        <f t="shared" si="8"/>
        <v>28</v>
      </c>
      <c r="F21" s="36">
        <f t="shared" si="8"/>
        <v>93</v>
      </c>
      <c r="G21" s="38">
        <f t="shared" si="8"/>
        <v>121</v>
      </c>
      <c r="H21" s="35">
        <f t="shared" si="8"/>
        <v>331</v>
      </c>
      <c r="I21" s="36">
        <f t="shared" si="8"/>
        <v>1018</v>
      </c>
      <c r="J21" s="38">
        <f t="shared" si="8"/>
        <v>1349</v>
      </c>
    </row>
    <row r="22" spans="1:10" ht="12" customHeight="1">
      <c r="A22" s="39" t="s">
        <v>5</v>
      </c>
      <c r="B22" s="40">
        <f aca="true" t="shared" si="9" ref="B22:J22">SUM(B45,B61,B77,B93)</f>
        <v>5953</v>
      </c>
      <c r="C22" s="41">
        <f t="shared" si="9"/>
        <v>34245</v>
      </c>
      <c r="D22" s="41">
        <f t="shared" si="9"/>
        <v>40198</v>
      </c>
      <c r="E22" s="40">
        <f t="shared" si="9"/>
        <v>1853</v>
      </c>
      <c r="F22" s="41">
        <f t="shared" si="9"/>
        <v>13942</v>
      </c>
      <c r="G22" s="41">
        <f t="shared" si="9"/>
        <v>15795</v>
      </c>
      <c r="H22" s="40">
        <f t="shared" si="9"/>
        <v>7806</v>
      </c>
      <c r="I22" s="41">
        <f t="shared" si="9"/>
        <v>48187</v>
      </c>
      <c r="J22" s="41">
        <f t="shared" si="9"/>
        <v>55993</v>
      </c>
    </row>
    <row r="24" spans="1:10" ht="12" customHeight="1">
      <c r="A24" s="23" t="s">
        <v>51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2" customHeight="1">
      <c r="A25" s="26" t="s">
        <v>15</v>
      </c>
      <c r="B25" s="27"/>
      <c r="C25" s="27"/>
      <c r="D25" s="27"/>
      <c r="E25" s="28"/>
      <c r="F25" s="28"/>
      <c r="G25" s="27"/>
      <c r="H25" s="27"/>
      <c r="I25" s="27"/>
      <c r="J25" s="27"/>
    </row>
    <row r="26" spans="1:10" ht="12" customHeight="1">
      <c r="A26" s="27"/>
      <c r="B26" s="27"/>
      <c r="C26" s="27"/>
      <c r="D26" s="27"/>
      <c r="E26" s="28"/>
      <c r="F26" s="26"/>
      <c r="G26" s="27"/>
      <c r="H26" s="27"/>
      <c r="I26" s="27"/>
      <c r="J26" s="27"/>
    </row>
    <row r="27" spans="1:10" ht="12" customHeight="1">
      <c r="A27" s="26" t="s">
        <v>53</v>
      </c>
      <c r="B27" s="27"/>
      <c r="C27" s="27"/>
      <c r="D27" s="27"/>
      <c r="E27" s="28"/>
      <c r="F27" s="28"/>
      <c r="G27" s="27"/>
      <c r="H27" s="27"/>
      <c r="I27" s="27"/>
      <c r="J27" s="27"/>
    </row>
    <row r="28" spans="1:10" ht="12" customHeight="1">
      <c r="A28" s="26"/>
      <c r="B28" s="27"/>
      <c r="C28" s="27"/>
      <c r="D28" s="27"/>
      <c r="E28" s="28"/>
      <c r="F28" s="28"/>
      <c r="G28" s="27"/>
      <c r="H28" s="27"/>
      <c r="I28" s="27"/>
      <c r="J28" s="27"/>
    </row>
    <row r="29" spans="1:10" ht="12" customHeight="1">
      <c r="A29" s="26" t="s">
        <v>16</v>
      </c>
      <c r="B29" s="27"/>
      <c r="C29" s="27"/>
      <c r="D29" s="27"/>
      <c r="E29" s="28"/>
      <c r="F29" s="26"/>
      <c r="G29" s="27"/>
      <c r="H29" s="27"/>
      <c r="I29" s="27"/>
      <c r="J29" s="27"/>
    </row>
    <row r="30" spans="1:10" ht="12" customHeight="1">
      <c r="A30" s="26"/>
      <c r="B30" s="27"/>
      <c r="C30" s="27"/>
      <c r="D30" s="27"/>
      <c r="E30" s="28"/>
      <c r="F30" s="26"/>
      <c r="G30" s="27"/>
      <c r="H30" s="27"/>
      <c r="I30" s="27"/>
      <c r="J30" s="27"/>
    </row>
    <row r="31" spans="1:10" ht="12" customHeight="1">
      <c r="A31" s="26" t="s">
        <v>29</v>
      </c>
      <c r="B31" s="27"/>
      <c r="C31" s="27"/>
      <c r="D31" s="27"/>
      <c r="E31" s="28"/>
      <c r="F31" s="26"/>
      <c r="G31" s="27"/>
      <c r="H31" s="27"/>
      <c r="I31" s="27"/>
      <c r="J31" s="27"/>
    </row>
    <row r="32" spans="1:10" ht="12" customHeight="1" thickBot="1">
      <c r="A32" s="24"/>
      <c r="B32" s="24"/>
      <c r="C32" s="24"/>
      <c r="D32" s="24"/>
      <c r="E32" s="24"/>
      <c r="F32" s="24"/>
      <c r="G32" s="24"/>
      <c r="H32" s="24"/>
      <c r="I32" s="24"/>
      <c r="J32" s="24"/>
    </row>
    <row r="33" spans="1:10" ht="12" customHeight="1">
      <c r="A33" s="30"/>
      <c r="B33" s="31" t="s">
        <v>3</v>
      </c>
      <c r="C33" s="32"/>
      <c r="D33" s="32"/>
      <c r="E33" s="31" t="s">
        <v>4</v>
      </c>
      <c r="F33" s="32"/>
      <c r="G33" s="32"/>
      <c r="H33" s="31" t="s">
        <v>5</v>
      </c>
      <c r="I33" s="32"/>
      <c r="J33" s="32"/>
    </row>
    <row r="34" spans="1:10" ht="12" customHeight="1">
      <c r="A34" s="120" t="s">
        <v>17</v>
      </c>
      <c r="B34" s="107" t="s">
        <v>6</v>
      </c>
      <c r="C34" s="108" t="s">
        <v>7</v>
      </c>
      <c r="D34" s="108" t="s">
        <v>5</v>
      </c>
      <c r="E34" s="107" t="s">
        <v>6</v>
      </c>
      <c r="F34" s="108" t="s">
        <v>7</v>
      </c>
      <c r="G34" s="108" t="s">
        <v>5</v>
      </c>
      <c r="H34" s="107" t="s">
        <v>6</v>
      </c>
      <c r="I34" s="108" t="s">
        <v>7</v>
      </c>
      <c r="J34" s="108" t="s">
        <v>5</v>
      </c>
    </row>
    <row r="35" spans="1:10" ht="12" customHeight="1">
      <c r="A35" s="33"/>
      <c r="B35" s="34"/>
      <c r="C35" s="33"/>
      <c r="D35" s="33"/>
      <c r="E35" s="34"/>
      <c r="F35" s="33"/>
      <c r="G35" s="33"/>
      <c r="H35" s="34"/>
      <c r="I35" s="33"/>
      <c r="J35" s="33"/>
    </row>
    <row r="36" spans="1:10" ht="12" customHeight="1">
      <c r="A36" s="24" t="s">
        <v>18</v>
      </c>
      <c r="B36" s="35">
        <f>0</f>
        <v>0</v>
      </c>
      <c r="C36" s="36">
        <f>0</f>
        <v>0</v>
      </c>
      <c r="D36" s="36">
        <f>SUM(B36:C36)</f>
        <v>0</v>
      </c>
      <c r="E36" s="35">
        <f>66</f>
        <v>66</v>
      </c>
      <c r="F36" s="36">
        <f>460</f>
        <v>460</v>
      </c>
      <c r="G36" s="36">
        <f aca="true" t="shared" si="10" ref="G36:G44">SUM(E36:F36)</f>
        <v>526</v>
      </c>
      <c r="H36" s="35">
        <f>SUM(B36,E36)</f>
        <v>66</v>
      </c>
      <c r="I36" s="36">
        <f>SUM(C36,F36)</f>
        <v>460</v>
      </c>
      <c r="J36" s="36">
        <f aca="true" t="shared" si="11" ref="J36:J44">SUM(H36:I36)</f>
        <v>526</v>
      </c>
    </row>
    <row r="37" spans="1:10" ht="12" customHeight="1">
      <c r="A37" s="24" t="s">
        <v>19</v>
      </c>
      <c r="B37" s="35">
        <f>42</f>
        <v>42</v>
      </c>
      <c r="C37" s="36">
        <f>291</f>
        <v>291</v>
      </c>
      <c r="D37" s="36">
        <f aca="true" t="shared" si="12" ref="D37:D44">SUM(B37:C37)</f>
        <v>333</v>
      </c>
      <c r="E37" s="35">
        <f>142</f>
        <v>142</v>
      </c>
      <c r="F37" s="36">
        <f>931</f>
        <v>931</v>
      </c>
      <c r="G37" s="36">
        <f t="shared" si="10"/>
        <v>1073</v>
      </c>
      <c r="H37" s="35">
        <f aca="true" t="shared" si="13" ref="H37:H44">SUM(B37,E37)</f>
        <v>184</v>
      </c>
      <c r="I37" s="36">
        <f aca="true" t="shared" si="14" ref="I37:I44">SUM(C37,F37)</f>
        <v>1222</v>
      </c>
      <c r="J37" s="36">
        <f t="shared" si="11"/>
        <v>1406</v>
      </c>
    </row>
    <row r="38" spans="1:10" ht="12" customHeight="1">
      <c r="A38" s="24" t="s">
        <v>20</v>
      </c>
      <c r="B38" s="35">
        <f>112</f>
        <v>112</v>
      </c>
      <c r="C38" s="36">
        <f>908</f>
        <v>908</v>
      </c>
      <c r="D38" s="36">
        <f t="shared" si="12"/>
        <v>1020</v>
      </c>
      <c r="E38" s="35">
        <f>76</f>
        <v>76</v>
      </c>
      <c r="F38" s="36">
        <f>472</f>
        <v>472</v>
      </c>
      <c r="G38" s="36">
        <f t="shared" si="10"/>
        <v>548</v>
      </c>
      <c r="H38" s="35">
        <f t="shared" si="13"/>
        <v>188</v>
      </c>
      <c r="I38" s="36">
        <f t="shared" si="14"/>
        <v>1380</v>
      </c>
      <c r="J38" s="36">
        <f t="shared" si="11"/>
        <v>1568</v>
      </c>
    </row>
    <row r="39" spans="1:10" ht="12" customHeight="1">
      <c r="A39" s="24" t="s">
        <v>21</v>
      </c>
      <c r="B39" s="35">
        <f>145</f>
        <v>145</v>
      </c>
      <c r="C39" s="36">
        <f>1138</f>
        <v>1138</v>
      </c>
      <c r="D39" s="36">
        <f t="shared" si="12"/>
        <v>1283</v>
      </c>
      <c r="E39" s="35">
        <f>45</f>
        <v>45</v>
      </c>
      <c r="F39" s="36">
        <f>172</f>
        <v>172</v>
      </c>
      <c r="G39" s="36">
        <f t="shared" si="10"/>
        <v>217</v>
      </c>
      <c r="H39" s="35">
        <f t="shared" si="13"/>
        <v>190</v>
      </c>
      <c r="I39" s="36">
        <f t="shared" si="14"/>
        <v>1310</v>
      </c>
      <c r="J39" s="36">
        <f t="shared" si="11"/>
        <v>1500</v>
      </c>
    </row>
    <row r="40" spans="1:10" ht="12" customHeight="1">
      <c r="A40" s="24" t="s">
        <v>22</v>
      </c>
      <c r="B40" s="37">
        <f>101</f>
        <v>101</v>
      </c>
      <c r="C40" s="36">
        <f>900</f>
        <v>900</v>
      </c>
      <c r="D40" s="36">
        <f t="shared" si="12"/>
        <v>1001</v>
      </c>
      <c r="E40" s="35">
        <f>23</f>
        <v>23</v>
      </c>
      <c r="F40" s="36">
        <f>97</f>
        <v>97</v>
      </c>
      <c r="G40" s="36">
        <f t="shared" si="10"/>
        <v>120</v>
      </c>
      <c r="H40" s="35">
        <f t="shared" si="13"/>
        <v>124</v>
      </c>
      <c r="I40" s="36">
        <f t="shared" si="14"/>
        <v>997</v>
      </c>
      <c r="J40" s="36">
        <f t="shared" si="11"/>
        <v>1121</v>
      </c>
    </row>
    <row r="41" spans="1:10" ht="12" customHeight="1">
      <c r="A41" s="24" t="s">
        <v>23</v>
      </c>
      <c r="B41" s="37">
        <f>63</f>
        <v>63</v>
      </c>
      <c r="C41" s="36">
        <f>626</f>
        <v>626</v>
      </c>
      <c r="D41" s="36">
        <f t="shared" si="12"/>
        <v>689</v>
      </c>
      <c r="E41" s="35">
        <f>7</f>
        <v>7</v>
      </c>
      <c r="F41" s="36">
        <f>62</f>
        <v>62</v>
      </c>
      <c r="G41" s="36">
        <f t="shared" si="10"/>
        <v>69</v>
      </c>
      <c r="H41" s="35">
        <f t="shared" si="13"/>
        <v>70</v>
      </c>
      <c r="I41" s="36">
        <f t="shared" si="14"/>
        <v>688</v>
      </c>
      <c r="J41" s="36">
        <f t="shared" si="11"/>
        <v>758</v>
      </c>
    </row>
    <row r="42" spans="1:10" ht="12" customHeight="1">
      <c r="A42" s="24" t="s">
        <v>24</v>
      </c>
      <c r="B42" s="37">
        <f>76</f>
        <v>76</v>
      </c>
      <c r="C42" s="36">
        <f>567</f>
        <v>567</v>
      </c>
      <c r="D42" s="36">
        <f t="shared" si="12"/>
        <v>643</v>
      </c>
      <c r="E42" s="35">
        <f>7</f>
        <v>7</v>
      </c>
      <c r="F42" s="36">
        <f>47</f>
        <v>47</v>
      </c>
      <c r="G42" s="36">
        <f t="shared" si="10"/>
        <v>54</v>
      </c>
      <c r="H42" s="35">
        <f t="shared" si="13"/>
        <v>83</v>
      </c>
      <c r="I42" s="36">
        <f t="shared" si="14"/>
        <v>614</v>
      </c>
      <c r="J42" s="36">
        <f t="shared" si="11"/>
        <v>697</v>
      </c>
    </row>
    <row r="43" spans="1:10" ht="12" customHeight="1">
      <c r="A43" s="24" t="s">
        <v>25</v>
      </c>
      <c r="B43" s="37">
        <f>99</f>
        <v>99</v>
      </c>
      <c r="C43" s="36">
        <f>499</f>
        <v>499</v>
      </c>
      <c r="D43" s="36">
        <f t="shared" si="12"/>
        <v>598</v>
      </c>
      <c r="E43" s="35">
        <f>3</f>
        <v>3</v>
      </c>
      <c r="F43" s="36">
        <f>15</f>
        <v>15</v>
      </c>
      <c r="G43" s="36">
        <f t="shared" si="10"/>
        <v>18</v>
      </c>
      <c r="H43" s="35">
        <f t="shared" si="13"/>
        <v>102</v>
      </c>
      <c r="I43" s="36">
        <f t="shared" si="14"/>
        <v>514</v>
      </c>
      <c r="J43" s="36">
        <f t="shared" si="11"/>
        <v>616</v>
      </c>
    </row>
    <row r="44" spans="1:10" ht="12" customHeight="1">
      <c r="A44" s="24" t="s">
        <v>26</v>
      </c>
      <c r="B44" s="37">
        <f>28+3</f>
        <v>31</v>
      </c>
      <c r="C44" s="36">
        <f>144+1</f>
        <v>145</v>
      </c>
      <c r="D44" s="38">
        <f t="shared" si="12"/>
        <v>176</v>
      </c>
      <c r="E44" s="35">
        <f>3+2</f>
        <v>5</v>
      </c>
      <c r="F44" s="36">
        <f>7+3</f>
        <v>10</v>
      </c>
      <c r="G44" s="38">
        <f t="shared" si="10"/>
        <v>15</v>
      </c>
      <c r="H44" s="35">
        <f t="shared" si="13"/>
        <v>36</v>
      </c>
      <c r="I44" s="36">
        <f t="shared" si="14"/>
        <v>155</v>
      </c>
      <c r="J44" s="38">
        <f t="shared" si="11"/>
        <v>191</v>
      </c>
    </row>
    <row r="45" spans="1:10" ht="12" customHeight="1">
      <c r="A45" s="39" t="s">
        <v>5</v>
      </c>
      <c r="B45" s="40">
        <f>SUM(B36:B44)</f>
        <v>669</v>
      </c>
      <c r="C45" s="41">
        <f aca="true" t="shared" si="15" ref="C45:J45">SUM(C36:C44)</f>
        <v>5074</v>
      </c>
      <c r="D45" s="41">
        <f t="shared" si="15"/>
        <v>5743</v>
      </c>
      <c r="E45" s="40">
        <f>SUM(E36:E44)</f>
        <v>374</v>
      </c>
      <c r="F45" s="41">
        <f t="shared" si="15"/>
        <v>2266</v>
      </c>
      <c r="G45" s="41">
        <f t="shared" si="15"/>
        <v>2640</v>
      </c>
      <c r="H45" s="40">
        <f t="shared" si="15"/>
        <v>1043</v>
      </c>
      <c r="I45" s="41">
        <f t="shared" si="15"/>
        <v>7340</v>
      </c>
      <c r="J45" s="41">
        <f t="shared" si="15"/>
        <v>8383</v>
      </c>
    </row>
    <row r="47" spans="1:10" ht="12" customHeight="1">
      <c r="A47" s="26" t="s">
        <v>9</v>
      </c>
      <c r="B47" s="27"/>
      <c r="C47" s="27"/>
      <c r="D47" s="27"/>
      <c r="E47" s="28"/>
      <c r="F47" s="26"/>
      <c r="G47" s="27"/>
      <c r="H47" s="27"/>
      <c r="I47" s="27"/>
      <c r="J47" s="27"/>
    </row>
    <row r="48" spans="1:10" ht="12" customHeight="1" thickBot="1">
      <c r="A48" s="24"/>
      <c r="B48" s="24"/>
      <c r="C48" s="24"/>
      <c r="D48" s="24"/>
      <c r="E48" s="24"/>
      <c r="F48" s="24"/>
      <c r="G48" s="24"/>
      <c r="H48" s="24"/>
      <c r="I48" s="24"/>
      <c r="J48" s="24"/>
    </row>
    <row r="49" spans="1:10" ht="12" customHeight="1">
      <c r="A49" s="30"/>
      <c r="B49" s="31" t="s">
        <v>3</v>
      </c>
      <c r="C49" s="32"/>
      <c r="D49" s="32"/>
      <c r="E49" s="31" t="s">
        <v>4</v>
      </c>
      <c r="F49" s="32"/>
      <c r="G49" s="32"/>
      <c r="H49" s="31" t="s">
        <v>5</v>
      </c>
      <c r="I49" s="32"/>
      <c r="J49" s="32"/>
    </row>
    <row r="50" spans="1:10" ht="12" customHeight="1">
      <c r="A50" s="120" t="s">
        <v>17</v>
      </c>
      <c r="B50" s="107" t="s">
        <v>6</v>
      </c>
      <c r="C50" s="108" t="s">
        <v>7</v>
      </c>
      <c r="D50" s="108" t="s">
        <v>5</v>
      </c>
      <c r="E50" s="107" t="s">
        <v>6</v>
      </c>
      <c r="F50" s="108" t="s">
        <v>7</v>
      </c>
      <c r="G50" s="108" t="s">
        <v>5</v>
      </c>
      <c r="H50" s="107" t="s">
        <v>6</v>
      </c>
      <c r="I50" s="108" t="s">
        <v>7</v>
      </c>
      <c r="J50" s="108" t="s">
        <v>5</v>
      </c>
    </row>
    <row r="51" spans="1:10" ht="12" customHeight="1">
      <c r="A51" s="33"/>
      <c r="B51" s="34"/>
      <c r="C51" s="33"/>
      <c r="D51" s="33"/>
      <c r="E51" s="34"/>
      <c r="F51" s="33"/>
      <c r="G51" s="33"/>
      <c r="H51" s="34"/>
      <c r="I51" s="33"/>
      <c r="J51" s="33"/>
    </row>
    <row r="52" spans="1:10" ht="12" customHeight="1">
      <c r="A52" s="24" t="s">
        <v>18</v>
      </c>
      <c r="B52" s="35">
        <f>0</f>
        <v>0</v>
      </c>
      <c r="C52" s="36">
        <f>0</f>
        <v>0</v>
      </c>
      <c r="D52" s="36">
        <f>SUM(B52:C52)</f>
        <v>0</v>
      </c>
      <c r="E52" s="35">
        <f>209</f>
        <v>209</v>
      </c>
      <c r="F52" s="36">
        <f>1872</f>
        <v>1872</v>
      </c>
      <c r="G52" s="36">
        <f aca="true" t="shared" si="16" ref="G52:G60">SUM(E52:F52)</f>
        <v>2081</v>
      </c>
      <c r="H52" s="35">
        <f>SUM(B52,E52)</f>
        <v>209</v>
      </c>
      <c r="I52" s="36">
        <f>SUM(C52,F52)</f>
        <v>1872</v>
      </c>
      <c r="J52" s="36">
        <f aca="true" t="shared" si="17" ref="J52:J60">SUM(H52:I52)</f>
        <v>2081</v>
      </c>
    </row>
    <row r="53" spans="1:10" ht="12" customHeight="1">
      <c r="A53" s="24" t="s">
        <v>19</v>
      </c>
      <c r="B53" s="35">
        <f>79</f>
        <v>79</v>
      </c>
      <c r="C53" s="36">
        <f>723</f>
        <v>723</v>
      </c>
      <c r="D53" s="36">
        <f aca="true" t="shared" si="18" ref="D53:D60">SUM(B53:C53)</f>
        <v>802</v>
      </c>
      <c r="E53" s="35">
        <f>447</f>
        <v>447</v>
      </c>
      <c r="F53" s="36">
        <f>3400</f>
        <v>3400</v>
      </c>
      <c r="G53" s="36">
        <f t="shared" si="16"/>
        <v>3847</v>
      </c>
      <c r="H53" s="35">
        <f aca="true" t="shared" si="19" ref="H53:H60">SUM(B53,E53)</f>
        <v>526</v>
      </c>
      <c r="I53" s="36">
        <f aca="true" t="shared" si="20" ref="I53:I60">SUM(C53,F53)</f>
        <v>4123</v>
      </c>
      <c r="J53" s="36">
        <f t="shared" si="17"/>
        <v>4649</v>
      </c>
    </row>
    <row r="54" spans="1:10" ht="12" customHeight="1">
      <c r="A54" s="24" t="s">
        <v>20</v>
      </c>
      <c r="B54" s="35">
        <f>343</f>
        <v>343</v>
      </c>
      <c r="C54" s="36">
        <f>2604</f>
        <v>2604</v>
      </c>
      <c r="D54" s="36">
        <f t="shared" si="18"/>
        <v>2947</v>
      </c>
      <c r="E54" s="35">
        <f>207</f>
        <v>207</v>
      </c>
      <c r="F54" s="36">
        <f>1737</f>
        <v>1737</v>
      </c>
      <c r="G54" s="36">
        <f t="shared" si="16"/>
        <v>1944</v>
      </c>
      <c r="H54" s="35">
        <f t="shared" si="19"/>
        <v>550</v>
      </c>
      <c r="I54" s="36">
        <f t="shared" si="20"/>
        <v>4341</v>
      </c>
      <c r="J54" s="36">
        <f t="shared" si="17"/>
        <v>4891</v>
      </c>
    </row>
    <row r="55" spans="1:10" ht="12" customHeight="1">
      <c r="A55" s="24" t="s">
        <v>21</v>
      </c>
      <c r="B55" s="37">
        <f>432</f>
        <v>432</v>
      </c>
      <c r="C55" s="36">
        <f>3121</f>
        <v>3121</v>
      </c>
      <c r="D55" s="36">
        <f t="shared" si="18"/>
        <v>3553</v>
      </c>
      <c r="E55" s="35">
        <f>67</f>
        <v>67</v>
      </c>
      <c r="F55" s="36">
        <f>540</f>
        <v>540</v>
      </c>
      <c r="G55" s="36">
        <f t="shared" si="16"/>
        <v>607</v>
      </c>
      <c r="H55" s="35">
        <f t="shared" si="19"/>
        <v>499</v>
      </c>
      <c r="I55" s="36">
        <f t="shared" si="20"/>
        <v>3661</v>
      </c>
      <c r="J55" s="36">
        <f t="shared" si="17"/>
        <v>4160</v>
      </c>
    </row>
    <row r="56" spans="1:10" ht="12" customHeight="1">
      <c r="A56" s="24" t="s">
        <v>22</v>
      </c>
      <c r="B56" s="37">
        <f>355</f>
        <v>355</v>
      </c>
      <c r="C56" s="36">
        <f>3229</f>
        <v>3229</v>
      </c>
      <c r="D56" s="36">
        <f t="shared" si="18"/>
        <v>3584</v>
      </c>
      <c r="E56" s="35">
        <f>24</f>
        <v>24</v>
      </c>
      <c r="F56" s="36">
        <f>283</f>
        <v>283</v>
      </c>
      <c r="G56" s="36">
        <f t="shared" si="16"/>
        <v>307</v>
      </c>
      <c r="H56" s="35">
        <f t="shared" si="19"/>
        <v>379</v>
      </c>
      <c r="I56" s="36">
        <f t="shared" si="20"/>
        <v>3512</v>
      </c>
      <c r="J56" s="36">
        <f t="shared" si="17"/>
        <v>3891</v>
      </c>
    </row>
    <row r="57" spans="1:10" ht="12" customHeight="1">
      <c r="A57" s="24" t="s">
        <v>23</v>
      </c>
      <c r="B57" s="37">
        <f>671</f>
        <v>671</v>
      </c>
      <c r="C57" s="36">
        <f>4313</f>
        <v>4313</v>
      </c>
      <c r="D57" s="36">
        <f t="shared" si="18"/>
        <v>4984</v>
      </c>
      <c r="E57" s="35">
        <f>20</f>
        <v>20</v>
      </c>
      <c r="F57" s="36">
        <f>188</f>
        <v>188</v>
      </c>
      <c r="G57" s="36">
        <f t="shared" si="16"/>
        <v>208</v>
      </c>
      <c r="H57" s="35">
        <f t="shared" si="19"/>
        <v>691</v>
      </c>
      <c r="I57" s="36">
        <f t="shared" si="20"/>
        <v>4501</v>
      </c>
      <c r="J57" s="36">
        <f t="shared" si="17"/>
        <v>5192</v>
      </c>
    </row>
    <row r="58" spans="1:10" ht="12" customHeight="1">
      <c r="A58" s="24" t="s">
        <v>24</v>
      </c>
      <c r="B58" s="37">
        <f>1019</f>
        <v>1019</v>
      </c>
      <c r="C58" s="36">
        <f>4018</f>
        <v>4018</v>
      </c>
      <c r="D58" s="36">
        <f t="shared" si="18"/>
        <v>5037</v>
      </c>
      <c r="E58" s="35">
        <f>11</f>
        <v>11</v>
      </c>
      <c r="F58" s="36">
        <f>102</f>
        <v>102</v>
      </c>
      <c r="G58" s="36">
        <f t="shared" si="16"/>
        <v>113</v>
      </c>
      <c r="H58" s="35">
        <f t="shared" si="19"/>
        <v>1030</v>
      </c>
      <c r="I58" s="36">
        <f t="shared" si="20"/>
        <v>4120</v>
      </c>
      <c r="J58" s="36">
        <f t="shared" si="17"/>
        <v>5150</v>
      </c>
    </row>
    <row r="59" spans="1:10" ht="12" customHeight="1">
      <c r="A59" s="24" t="s">
        <v>25</v>
      </c>
      <c r="B59" s="37">
        <f>776</f>
        <v>776</v>
      </c>
      <c r="C59" s="36">
        <f>2434</f>
        <v>2434</v>
      </c>
      <c r="D59" s="36">
        <f t="shared" si="18"/>
        <v>3210</v>
      </c>
      <c r="E59" s="35">
        <f>7</f>
        <v>7</v>
      </c>
      <c r="F59" s="36">
        <f>32</f>
        <v>32</v>
      </c>
      <c r="G59" s="36">
        <f t="shared" si="16"/>
        <v>39</v>
      </c>
      <c r="H59" s="35">
        <f t="shared" si="19"/>
        <v>783</v>
      </c>
      <c r="I59" s="36">
        <f t="shared" si="20"/>
        <v>2466</v>
      </c>
      <c r="J59" s="36">
        <f t="shared" si="17"/>
        <v>3249</v>
      </c>
    </row>
    <row r="60" spans="1:10" ht="12" customHeight="1">
      <c r="A60" s="24" t="s">
        <v>26</v>
      </c>
      <c r="B60" s="37">
        <f>180+6</f>
        <v>186</v>
      </c>
      <c r="C60" s="36">
        <f>555+9</f>
        <v>564</v>
      </c>
      <c r="D60" s="38">
        <f t="shared" si="18"/>
        <v>750</v>
      </c>
      <c r="E60" s="35">
        <f>9+11</f>
        <v>20</v>
      </c>
      <c r="F60" s="36">
        <f>47+16</f>
        <v>63</v>
      </c>
      <c r="G60" s="38">
        <f t="shared" si="16"/>
        <v>83</v>
      </c>
      <c r="H60" s="35">
        <f t="shared" si="19"/>
        <v>206</v>
      </c>
      <c r="I60" s="36">
        <f t="shared" si="20"/>
        <v>627</v>
      </c>
      <c r="J60" s="38">
        <f t="shared" si="17"/>
        <v>833</v>
      </c>
    </row>
    <row r="61" spans="1:10" ht="12" customHeight="1">
      <c r="A61" s="39" t="s">
        <v>5</v>
      </c>
      <c r="B61" s="40">
        <f aca="true" t="shared" si="21" ref="B61:J61">SUM(B52:B60)</f>
        <v>3861</v>
      </c>
      <c r="C61" s="41">
        <f t="shared" si="21"/>
        <v>21006</v>
      </c>
      <c r="D61" s="41">
        <f t="shared" si="21"/>
        <v>24867</v>
      </c>
      <c r="E61" s="40">
        <f t="shared" si="21"/>
        <v>1012</v>
      </c>
      <c r="F61" s="41">
        <f t="shared" si="21"/>
        <v>8217</v>
      </c>
      <c r="G61" s="41">
        <f t="shared" si="21"/>
        <v>9229</v>
      </c>
      <c r="H61" s="40">
        <f t="shared" si="21"/>
        <v>4873</v>
      </c>
      <c r="I61" s="41">
        <f t="shared" si="21"/>
        <v>29223</v>
      </c>
      <c r="J61" s="41">
        <f t="shared" si="21"/>
        <v>34096</v>
      </c>
    </row>
    <row r="63" spans="1:10" ht="12" customHeight="1">
      <c r="A63" s="26" t="s">
        <v>10</v>
      </c>
      <c r="B63" s="27"/>
      <c r="C63" s="27"/>
      <c r="D63" s="27"/>
      <c r="E63" s="28"/>
      <c r="F63" s="26"/>
      <c r="G63" s="27"/>
      <c r="H63" s="27"/>
      <c r="I63" s="27"/>
      <c r="J63" s="27"/>
    </row>
    <row r="64" spans="1:10" ht="12" customHeight="1" thickBot="1">
      <c r="A64" s="24"/>
      <c r="B64" s="24"/>
      <c r="C64" s="24"/>
      <c r="D64" s="24"/>
      <c r="E64" s="24"/>
      <c r="F64" s="24"/>
      <c r="G64" s="24"/>
      <c r="H64" s="24"/>
      <c r="I64" s="24"/>
      <c r="J64" s="24"/>
    </row>
    <row r="65" spans="1:10" ht="12" customHeight="1">
      <c r="A65" s="30"/>
      <c r="B65" s="31" t="s">
        <v>3</v>
      </c>
      <c r="C65" s="32"/>
      <c r="D65" s="32"/>
      <c r="E65" s="31" t="s">
        <v>4</v>
      </c>
      <c r="F65" s="32"/>
      <c r="G65" s="32"/>
      <c r="H65" s="31" t="s">
        <v>5</v>
      </c>
      <c r="I65" s="32"/>
      <c r="J65" s="32"/>
    </row>
    <row r="66" spans="1:10" ht="12" customHeight="1">
      <c r="A66" s="120" t="s">
        <v>17</v>
      </c>
      <c r="B66" s="107" t="s">
        <v>6</v>
      </c>
      <c r="C66" s="108" t="s">
        <v>7</v>
      </c>
      <c r="D66" s="108" t="s">
        <v>5</v>
      </c>
      <c r="E66" s="107" t="s">
        <v>6</v>
      </c>
      <c r="F66" s="108" t="s">
        <v>7</v>
      </c>
      <c r="G66" s="108" t="s">
        <v>5</v>
      </c>
      <c r="H66" s="107" t="s">
        <v>6</v>
      </c>
      <c r="I66" s="108" t="s">
        <v>7</v>
      </c>
      <c r="J66" s="108" t="s">
        <v>5</v>
      </c>
    </row>
    <row r="67" spans="1:10" ht="12" customHeight="1">
      <c r="A67" s="33"/>
      <c r="B67" s="34"/>
      <c r="D67" s="33"/>
      <c r="E67" s="34"/>
      <c r="F67" s="33"/>
      <c r="G67" s="33"/>
      <c r="H67" s="34"/>
      <c r="I67" s="33"/>
      <c r="J67" s="33"/>
    </row>
    <row r="68" spans="1:10" ht="12" customHeight="1">
      <c r="A68" s="24" t="s">
        <v>18</v>
      </c>
      <c r="B68" s="35">
        <f>0</f>
        <v>0</v>
      </c>
      <c r="C68" s="123">
        <f>0</f>
        <v>0</v>
      </c>
      <c r="D68" s="36">
        <f>SUM(B68:C68)</f>
        <v>0</v>
      </c>
      <c r="E68" s="35">
        <f>0</f>
        <v>0</v>
      </c>
      <c r="F68" s="36">
        <f>4</f>
        <v>4</v>
      </c>
      <c r="G68" s="36">
        <f aca="true" t="shared" si="22" ref="G68:G76">SUM(E68:F68)</f>
        <v>4</v>
      </c>
      <c r="H68" s="35">
        <f>SUM(B68,E68)</f>
        <v>0</v>
      </c>
      <c r="I68" s="124">
        <f>SUM(C68,F68)</f>
        <v>4</v>
      </c>
      <c r="J68" s="36">
        <f aca="true" t="shared" si="23" ref="J68:J75">SUM(H68:I68)</f>
        <v>4</v>
      </c>
    </row>
    <row r="69" spans="1:10" ht="12" customHeight="1">
      <c r="A69" s="24" t="s">
        <v>19</v>
      </c>
      <c r="B69" s="35">
        <f>0</f>
        <v>0</v>
      </c>
      <c r="C69" s="36">
        <f>0</f>
        <v>0</v>
      </c>
      <c r="D69" s="36">
        <f aca="true" t="shared" si="24" ref="D69:D75">SUM(B69:C69)</f>
        <v>0</v>
      </c>
      <c r="E69" s="35">
        <f>1</f>
        <v>1</v>
      </c>
      <c r="F69" s="36">
        <f>6</f>
        <v>6</v>
      </c>
      <c r="G69" s="36">
        <f t="shared" si="22"/>
        <v>7</v>
      </c>
      <c r="H69" s="35">
        <f aca="true" t="shared" si="25" ref="H69:I76">SUM(B69,E69)</f>
        <v>1</v>
      </c>
      <c r="I69" s="124">
        <f t="shared" si="25"/>
        <v>6</v>
      </c>
      <c r="J69" s="36">
        <f t="shared" si="23"/>
        <v>7</v>
      </c>
    </row>
    <row r="70" spans="1:10" ht="12" customHeight="1">
      <c r="A70" s="24" t="s">
        <v>20</v>
      </c>
      <c r="B70" s="35">
        <f>0</f>
        <v>0</v>
      </c>
      <c r="C70" s="36">
        <f>5</f>
        <v>5</v>
      </c>
      <c r="D70" s="36">
        <f t="shared" si="24"/>
        <v>5</v>
      </c>
      <c r="E70" s="35">
        <f>0</f>
        <v>0</v>
      </c>
      <c r="F70" s="36">
        <f>1</f>
        <v>1</v>
      </c>
      <c r="G70" s="36">
        <f t="shared" si="22"/>
        <v>1</v>
      </c>
      <c r="H70" s="35">
        <f t="shared" si="25"/>
        <v>0</v>
      </c>
      <c r="I70" s="124">
        <f t="shared" si="25"/>
        <v>6</v>
      </c>
      <c r="J70" s="36">
        <f t="shared" si="23"/>
        <v>6</v>
      </c>
    </row>
    <row r="71" spans="1:10" ht="12" customHeight="1">
      <c r="A71" s="24" t="s">
        <v>21</v>
      </c>
      <c r="B71" s="37">
        <f>0</f>
        <v>0</v>
      </c>
      <c r="C71" s="36">
        <f>1</f>
        <v>1</v>
      </c>
      <c r="D71" s="36">
        <f t="shared" si="24"/>
        <v>1</v>
      </c>
      <c r="E71" s="35">
        <f>0</f>
        <v>0</v>
      </c>
      <c r="F71" s="36">
        <f>0</f>
        <v>0</v>
      </c>
      <c r="G71" s="36">
        <f t="shared" si="22"/>
        <v>0</v>
      </c>
      <c r="H71" s="35">
        <f t="shared" si="25"/>
        <v>0</v>
      </c>
      <c r="I71" s="124">
        <f t="shared" si="25"/>
        <v>1</v>
      </c>
      <c r="J71" s="36">
        <f t="shared" si="23"/>
        <v>1</v>
      </c>
    </row>
    <row r="72" spans="1:10" ht="12" customHeight="1">
      <c r="A72" s="24" t="s">
        <v>22</v>
      </c>
      <c r="B72" s="37">
        <f>0</f>
        <v>0</v>
      </c>
      <c r="C72" s="36">
        <f>5</f>
        <v>5</v>
      </c>
      <c r="D72" s="36">
        <f t="shared" si="24"/>
        <v>5</v>
      </c>
      <c r="E72" s="35">
        <f>0</f>
        <v>0</v>
      </c>
      <c r="F72" s="36">
        <f>0</f>
        <v>0</v>
      </c>
      <c r="G72" s="36">
        <f t="shared" si="22"/>
        <v>0</v>
      </c>
      <c r="H72" s="35">
        <f t="shared" si="25"/>
        <v>0</v>
      </c>
      <c r="I72" s="124">
        <f t="shared" si="25"/>
        <v>5</v>
      </c>
      <c r="J72" s="36">
        <f t="shared" si="23"/>
        <v>5</v>
      </c>
    </row>
    <row r="73" spans="1:10" ht="12" customHeight="1">
      <c r="A73" s="24" t="s">
        <v>23</v>
      </c>
      <c r="B73" s="37">
        <f>2</f>
        <v>2</v>
      </c>
      <c r="C73" s="36">
        <f>4</f>
        <v>4</v>
      </c>
      <c r="D73" s="36">
        <f t="shared" si="24"/>
        <v>6</v>
      </c>
      <c r="E73" s="35">
        <f>0</f>
        <v>0</v>
      </c>
      <c r="F73" s="36">
        <f>0</f>
        <v>0</v>
      </c>
      <c r="G73" s="36">
        <f t="shared" si="22"/>
        <v>0</v>
      </c>
      <c r="H73" s="35">
        <f t="shared" si="25"/>
        <v>2</v>
      </c>
      <c r="I73" s="124">
        <f t="shared" si="25"/>
        <v>4</v>
      </c>
      <c r="J73" s="36">
        <f t="shared" si="23"/>
        <v>6</v>
      </c>
    </row>
    <row r="74" spans="1:10" ht="12" customHeight="1">
      <c r="A74" s="24" t="s">
        <v>24</v>
      </c>
      <c r="B74" s="37">
        <f>2</f>
        <v>2</v>
      </c>
      <c r="C74" s="36">
        <f>4</f>
        <v>4</v>
      </c>
      <c r="D74" s="36">
        <f t="shared" si="24"/>
        <v>6</v>
      </c>
      <c r="E74" s="35">
        <f>0</f>
        <v>0</v>
      </c>
      <c r="F74" s="36">
        <f>0</f>
        <v>0</v>
      </c>
      <c r="G74" s="36">
        <f t="shared" si="22"/>
        <v>0</v>
      </c>
      <c r="H74" s="35">
        <f t="shared" si="25"/>
        <v>2</v>
      </c>
      <c r="I74" s="124">
        <f t="shared" si="25"/>
        <v>4</v>
      </c>
      <c r="J74" s="36">
        <f t="shared" si="23"/>
        <v>6</v>
      </c>
    </row>
    <row r="75" spans="1:10" ht="12" customHeight="1">
      <c r="A75" s="24" t="s">
        <v>25</v>
      </c>
      <c r="B75" s="37">
        <f>0</f>
        <v>0</v>
      </c>
      <c r="C75" s="36">
        <f>2</f>
        <v>2</v>
      </c>
      <c r="D75" s="36">
        <f t="shared" si="24"/>
        <v>2</v>
      </c>
      <c r="E75" s="35">
        <f>0</f>
        <v>0</v>
      </c>
      <c r="F75" s="36">
        <f>0</f>
        <v>0</v>
      </c>
      <c r="G75" s="36">
        <f t="shared" si="22"/>
        <v>0</v>
      </c>
      <c r="H75" s="35">
        <f t="shared" si="25"/>
        <v>0</v>
      </c>
      <c r="I75" s="124">
        <f t="shared" si="25"/>
        <v>2</v>
      </c>
      <c r="J75" s="36">
        <f t="shared" si="23"/>
        <v>2</v>
      </c>
    </row>
    <row r="76" spans="1:10" ht="12" customHeight="1">
      <c r="A76" s="24" t="s">
        <v>26</v>
      </c>
      <c r="B76" s="37">
        <f>0</f>
        <v>0</v>
      </c>
      <c r="C76" s="36">
        <f>1</f>
        <v>1</v>
      </c>
      <c r="D76" s="38">
        <f>SUM(B76:C76)</f>
        <v>1</v>
      </c>
      <c r="E76" s="35">
        <f>0</f>
        <v>0</v>
      </c>
      <c r="F76" s="36">
        <f>0</f>
        <v>0</v>
      </c>
      <c r="G76" s="38">
        <f t="shared" si="22"/>
        <v>0</v>
      </c>
      <c r="H76" s="125">
        <f t="shared" si="25"/>
        <v>0</v>
      </c>
      <c r="I76" s="124">
        <f t="shared" si="25"/>
        <v>1</v>
      </c>
      <c r="J76" s="36">
        <f>SUM(H76:I76)</f>
        <v>1</v>
      </c>
    </row>
    <row r="77" spans="1:10" ht="12" customHeight="1">
      <c r="A77" s="39" t="s">
        <v>5</v>
      </c>
      <c r="B77" s="40">
        <f aca="true" t="shared" si="26" ref="B77:J77">SUM(B68:B76)</f>
        <v>4</v>
      </c>
      <c r="C77" s="41">
        <f>SUM(C69:C76)</f>
        <v>22</v>
      </c>
      <c r="D77" s="41">
        <f t="shared" si="26"/>
        <v>26</v>
      </c>
      <c r="E77" s="40">
        <f t="shared" si="26"/>
        <v>1</v>
      </c>
      <c r="F77" s="41">
        <f t="shared" si="26"/>
        <v>11</v>
      </c>
      <c r="G77" s="41">
        <f t="shared" si="26"/>
        <v>12</v>
      </c>
      <c r="H77" s="40">
        <f t="shared" si="26"/>
        <v>5</v>
      </c>
      <c r="I77" s="41">
        <f t="shared" si="26"/>
        <v>33</v>
      </c>
      <c r="J77" s="41">
        <f t="shared" si="26"/>
        <v>38</v>
      </c>
    </row>
    <row r="79" spans="1:10" ht="12" customHeight="1">
      <c r="A79" s="26" t="s">
        <v>11</v>
      </c>
      <c r="B79" s="27"/>
      <c r="C79" s="27"/>
      <c r="D79" s="27"/>
      <c r="E79" s="28"/>
      <c r="F79" s="26"/>
      <c r="G79" s="27"/>
      <c r="H79" s="27"/>
      <c r="I79" s="27"/>
      <c r="J79" s="27"/>
    </row>
    <row r="80" spans="1:10" ht="12" customHeight="1" thickBot="1">
      <c r="A80" s="24"/>
      <c r="B80" s="24"/>
      <c r="C80" s="24"/>
      <c r="D80" s="24"/>
      <c r="E80" s="24"/>
      <c r="F80" s="24"/>
      <c r="G80" s="24"/>
      <c r="H80" s="24"/>
      <c r="I80" s="24"/>
      <c r="J80" s="24"/>
    </row>
    <row r="81" spans="1:10" ht="12" customHeight="1">
      <c r="A81" s="30"/>
      <c r="B81" s="31" t="s">
        <v>3</v>
      </c>
      <c r="C81" s="32"/>
      <c r="D81" s="32"/>
      <c r="E81" s="31" t="s">
        <v>4</v>
      </c>
      <c r="F81" s="32"/>
      <c r="G81" s="32"/>
      <c r="H81" s="31" t="s">
        <v>5</v>
      </c>
      <c r="I81" s="32"/>
      <c r="J81" s="32"/>
    </row>
    <row r="82" spans="1:10" ht="12" customHeight="1">
      <c r="A82" s="120" t="s">
        <v>17</v>
      </c>
      <c r="B82" s="107" t="s">
        <v>6</v>
      </c>
      <c r="C82" s="108" t="s">
        <v>7</v>
      </c>
      <c r="D82" s="108" t="s">
        <v>5</v>
      </c>
      <c r="E82" s="107" t="s">
        <v>6</v>
      </c>
      <c r="F82" s="108" t="s">
        <v>7</v>
      </c>
      <c r="G82" s="108" t="s">
        <v>5</v>
      </c>
      <c r="H82" s="107" t="s">
        <v>6</v>
      </c>
      <c r="I82" s="108" t="s">
        <v>7</v>
      </c>
      <c r="J82" s="108" t="s">
        <v>5</v>
      </c>
    </row>
    <row r="83" spans="1:10" ht="12" customHeight="1">
      <c r="A83" s="33"/>
      <c r="B83" s="34"/>
      <c r="C83" s="33"/>
      <c r="D83" s="33"/>
      <c r="E83" s="34"/>
      <c r="F83" s="33"/>
      <c r="G83" s="33"/>
      <c r="H83" s="34"/>
      <c r="I83" s="33"/>
      <c r="J83" s="33"/>
    </row>
    <row r="84" spans="1:10" ht="12" customHeight="1">
      <c r="A84" s="24" t="s">
        <v>18</v>
      </c>
      <c r="B84" s="35">
        <f>0</f>
        <v>0</v>
      </c>
      <c r="C84" s="36">
        <f>0</f>
        <v>0</v>
      </c>
      <c r="D84" s="36">
        <f>SUM(B84:C84)</f>
        <v>0</v>
      </c>
      <c r="E84" s="35">
        <f>76</f>
        <v>76</v>
      </c>
      <c r="F84" s="36">
        <f>663</f>
        <v>663</v>
      </c>
      <c r="G84" s="36">
        <f aca="true" t="shared" si="27" ref="G84:G92">SUM(E84:F84)</f>
        <v>739</v>
      </c>
      <c r="H84" s="35">
        <f>SUM(B84,E84)</f>
        <v>76</v>
      </c>
      <c r="I84" s="36">
        <f>SUM(C84,F84)</f>
        <v>663</v>
      </c>
      <c r="J84" s="36">
        <f aca="true" t="shared" si="28" ref="J84:J92">SUM(H84:I84)</f>
        <v>739</v>
      </c>
    </row>
    <row r="85" spans="1:10" ht="12" customHeight="1">
      <c r="A85" s="24" t="s">
        <v>19</v>
      </c>
      <c r="B85" s="35">
        <f>32</f>
        <v>32</v>
      </c>
      <c r="C85" s="36">
        <f>345</f>
        <v>345</v>
      </c>
      <c r="D85" s="36">
        <f aca="true" t="shared" si="29" ref="D85:D92">SUM(B85:C85)</f>
        <v>377</v>
      </c>
      <c r="E85" s="35">
        <f>186</f>
        <v>186</v>
      </c>
      <c r="F85" s="36">
        <f>1449</f>
        <v>1449</v>
      </c>
      <c r="G85" s="36">
        <f t="shared" si="27"/>
        <v>1635</v>
      </c>
      <c r="H85" s="35">
        <f aca="true" t="shared" si="30" ref="H85:H92">SUM(B85,E85)</f>
        <v>218</v>
      </c>
      <c r="I85" s="36">
        <f aca="true" t="shared" si="31" ref="I85:I92">SUM(C85,F85)</f>
        <v>1794</v>
      </c>
      <c r="J85" s="36">
        <f t="shared" si="28"/>
        <v>2012</v>
      </c>
    </row>
    <row r="86" spans="1:10" ht="12" customHeight="1">
      <c r="A86" s="24" t="s">
        <v>20</v>
      </c>
      <c r="B86" s="35">
        <f>142</f>
        <v>142</v>
      </c>
      <c r="C86" s="36">
        <f>1219</f>
        <v>1219</v>
      </c>
      <c r="D86" s="36">
        <f t="shared" si="29"/>
        <v>1361</v>
      </c>
      <c r="E86" s="35">
        <f>121</f>
        <v>121</v>
      </c>
      <c r="F86" s="36">
        <f>731</f>
        <v>731</v>
      </c>
      <c r="G86" s="36">
        <f t="shared" si="27"/>
        <v>852</v>
      </c>
      <c r="H86" s="35">
        <f t="shared" si="30"/>
        <v>263</v>
      </c>
      <c r="I86" s="36">
        <f t="shared" si="31"/>
        <v>1950</v>
      </c>
      <c r="J86" s="36">
        <f t="shared" si="28"/>
        <v>2213</v>
      </c>
    </row>
    <row r="87" spans="1:10" ht="12" customHeight="1">
      <c r="A87" s="24" t="s">
        <v>21</v>
      </c>
      <c r="B87" s="37">
        <f>174</f>
        <v>174</v>
      </c>
      <c r="C87" s="36">
        <f>1324</f>
        <v>1324</v>
      </c>
      <c r="D87" s="36">
        <f t="shared" si="29"/>
        <v>1498</v>
      </c>
      <c r="E87" s="35">
        <f>38</f>
        <v>38</v>
      </c>
      <c r="F87" s="36">
        <f>271</f>
        <v>271</v>
      </c>
      <c r="G87" s="36">
        <f t="shared" si="27"/>
        <v>309</v>
      </c>
      <c r="H87" s="35">
        <f t="shared" si="30"/>
        <v>212</v>
      </c>
      <c r="I87" s="36">
        <f t="shared" si="31"/>
        <v>1595</v>
      </c>
      <c r="J87" s="36">
        <f t="shared" si="28"/>
        <v>1807</v>
      </c>
    </row>
    <row r="88" spans="1:10" ht="12" customHeight="1">
      <c r="A88" s="24" t="s">
        <v>22</v>
      </c>
      <c r="B88" s="37">
        <f>147</f>
        <v>147</v>
      </c>
      <c r="C88" s="36">
        <f>1321</f>
        <v>1321</v>
      </c>
      <c r="D88" s="36">
        <f t="shared" si="29"/>
        <v>1468</v>
      </c>
      <c r="E88" s="35">
        <f>14</f>
        <v>14</v>
      </c>
      <c r="F88" s="36">
        <f>135</f>
        <v>135</v>
      </c>
      <c r="G88" s="36">
        <f t="shared" si="27"/>
        <v>149</v>
      </c>
      <c r="H88" s="35">
        <f t="shared" si="30"/>
        <v>161</v>
      </c>
      <c r="I88" s="36">
        <f t="shared" si="31"/>
        <v>1456</v>
      </c>
      <c r="J88" s="36">
        <f t="shared" si="28"/>
        <v>1617</v>
      </c>
    </row>
    <row r="89" spans="1:10" ht="12" customHeight="1">
      <c r="A89" s="24" t="s">
        <v>23</v>
      </c>
      <c r="B89" s="37">
        <f>184</f>
        <v>184</v>
      </c>
      <c r="C89" s="36">
        <f>1363</f>
        <v>1363</v>
      </c>
      <c r="D89" s="36">
        <f t="shared" si="29"/>
        <v>1547</v>
      </c>
      <c r="E89" s="35">
        <f>10</f>
        <v>10</v>
      </c>
      <c r="F89" s="36">
        <f>80</f>
        <v>80</v>
      </c>
      <c r="G89" s="36">
        <f t="shared" si="27"/>
        <v>90</v>
      </c>
      <c r="H89" s="35">
        <f t="shared" si="30"/>
        <v>194</v>
      </c>
      <c r="I89" s="36">
        <f t="shared" si="31"/>
        <v>1443</v>
      </c>
      <c r="J89" s="36">
        <f t="shared" si="28"/>
        <v>1637</v>
      </c>
    </row>
    <row r="90" spans="1:10" ht="12" customHeight="1">
      <c r="A90" s="24" t="s">
        <v>24</v>
      </c>
      <c r="B90" s="37">
        <f>317</f>
        <v>317</v>
      </c>
      <c r="C90" s="36">
        <f>1342</f>
        <v>1342</v>
      </c>
      <c r="D90" s="36">
        <f t="shared" si="29"/>
        <v>1659</v>
      </c>
      <c r="E90" s="35">
        <f>15</f>
        <v>15</v>
      </c>
      <c r="F90" s="36">
        <f>73</f>
        <v>73</v>
      </c>
      <c r="G90" s="36">
        <f t="shared" si="27"/>
        <v>88</v>
      </c>
      <c r="H90" s="35">
        <f t="shared" si="30"/>
        <v>332</v>
      </c>
      <c r="I90" s="36">
        <f t="shared" si="31"/>
        <v>1415</v>
      </c>
      <c r="J90" s="36">
        <f t="shared" si="28"/>
        <v>1747</v>
      </c>
    </row>
    <row r="91" spans="1:10" ht="12" customHeight="1">
      <c r="A91" s="24" t="s">
        <v>25</v>
      </c>
      <c r="B91" s="37">
        <f>337</f>
        <v>337</v>
      </c>
      <c r="C91" s="36">
        <f>1014</f>
        <v>1014</v>
      </c>
      <c r="D91" s="36">
        <f t="shared" si="29"/>
        <v>1351</v>
      </c>
      <c r="E91" s="35">
        <f>3</f>
        <v>3</v>
      </c>
      <c r="F91" s="36">
        <f>26</f>
        <v>26</v>
      </c>
      <c r="G91" s="36">
        <f t="shared" si="27"/>
        <v>29</v>
      </c>
      <c r="H91" s="35">
        <f t="shared" si="30"/>
        <v>340</v>
      </c>
      <c r="I91" s="36">
        <f t="shared" si="31"/>
        <v>1040</v>
      </c>
      <c r="J91" s="36">
        <f t="shared" si="28"/>
        <v>1380</v>
      </c>
    </row>
    <row r="92" spans="1:10" ht="12" customHeight="1">
      <c r="A92" s="24" t="s">
        <v>26</v>
      </c>
      <c r="B92" s="37">
        <f>82+4</f>
        <v>86</v>
      </c>
      <c r="C92" s="36">
        <f>213+2</f>
        <v>215</v>
      </c>
      <c r="D92" s="38">
        <f t="shared" si="29"/>
        <v>301</v>
      </c>
      <c r="E92" s="35">
        <f>1+2</f>
        <v>3</v>
      </c>
      <c r="F92" s="36">
        <f>14+6</f>
        <v>20</v>
      </c>
      <c r="G92" s="38">
        <f t="shared" si="27"/>
        <v>23</v>
      </c>
      <c r="H92" s="35">
        <f t="shared" si="30"/>
        <v>89</v>
      </c>
      <c r="I92" s="36">
        <f t="shared" si="31"/>
        <v>235</v>
      </c>
      <c r="J92" s="38">
        <f t="shared" si="28"/>
        <v>324</v>
      </c>
    </row>
    <row r="93" spans="1:10" ht="12" customHeight="1">
      <c r="A93" s="39" t="s">
        <v>5</v>
      </c>
      <c r="B93" s="40">
        <f aca="true" t="shared" si="32" ref="B93:J93">SUM(B84:B92)</f>
        <v>1419</v>
      </c>
      <c r="C93" s="41">
        <f t="shared" si="32"/>
        <v>8143</v>
      </c>
      <c r="D93" s="41">
        <f t="shared" si="32"/>
        <v>9562</v>
      </c>
      <c r="E93" s="40">
        <f t="shared" si="32"/>
        <v>466</v>
      </c>
      <c r="F93" s="41">
        <f t="shared" si="32"/>
        <v>3448</v>
      </c>
      <c r="G93" s="41">
        <f t="shared" si="32"/>
        <v>3914</v>
      </c>
      <c r="H93" s="40">
        <f t="shared" si="32"/>
        <v>1885</v>
      </c>
      <c r="I93" s="41">
        <f t="shared" si="32"/>
        <v>11591</v>
      </c>
      <c r="J93" s="41">
        <f t="shared" si="32"/>
        <v>13476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fitToWidth="2" horizontalDpi="300" verticalDpi="300" orientation="portrait" paperSize="9" scale="73" r:id="rId1"/>
  <headerFooter alignWithMargins="0">
    <oddFooter>&amp;R&amp;A</oddFooter>
  </headerFooter>
  <rowBreaks count="1" manualBreakCount="1">
    <brk id="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L34" sqref="L34"/>
    </sheetView>
  </sheetViews>
  <sheetFormatPr defaultColWidth="9.140625" defaultRowHeight="12.75" customHeight="1"/>
  <cols>
    <col min="1" max="1" width="34.8515625" style="44" customWidth="1"/>
    <col min="2" max="2" width="9.140625" style="44" customWidth="1"/>
    <col min="3" max="3" width="9.421875" style="44" bestFit="1" customWidth="1"/>
    <col min="4" max="5" width="9.140625" style="44" customWidth="1"/>
    <col min="6" max="6" width="9.421875" style="44" bestFit="1" customWidth="1"/>
    <col min="7" max="16384" width="9.140625" style="44" customWidth="1"/>
  </cols>
  <sheetData>
    <row r="1" spans="1:10" ht="12.75" customHeight="1">
      <c r="A1" s="42" t="s">
        <v>51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12.75" customHeight="1">
      <c r="A2" s="45" t="s">
        <v>15</v>
      </c>
      <c r="B2" s="46"/>
      <c r="C2" s="46"/>
      <c r="D2" s="46"/>
      <c r="E2" s="47"/>
      <c r="F2" s="47"/>
      <c r="G2" s="46"/>
      <c r="H2" s="46"/>
      <c r="I2" s="46"/>
      <c r="J2" s="46"/>
    </row>
    <row r="3" spans="1:10" ht="12.75" customHeight="1">
      <c r="A3" s="46"/>
      <c r="B3" s="46"/>
      <c r="C3" s="46"/>
      <c r="D3" s="46"/>
      <c r="E3" s="47"/>
      <c r="F3" s="45"/>
      <c r="G3" s="46"/>
      <c r="H3" s="46"/>
      <c r="I3" s="46"/>
      <c r="J3" s="46"/>
    </row>
    <row r="4" spans="1:10" ht="12.75" customHeight="1">
      <c r="A4" s="45" t="s">
        <v>53</v>
      </c>
      <c r="B4" s="46"/>
      <c r="C4" s="46"/>
      <c r="D4" s="46"/>
      <c r="E4" s="47"/>
      <c r="F4" s="47"/>
      <c r="G4" s="46"/>
      <c r="H4" s="46"/>
      <c r="I4" s="46"/>
      <c r="J4" s="46"/>
    </row>
    <row r="6" spans="1:10" ht="12.75" customHeight="1">
      <c r="A6" s="48" t="s">
        <v>27</v>
      </c>
      <c r="B6" s="49"/>
      <c r="C6" s="49"/>
      <c r="D6" s="49"/>
      <c r="E6" s="49"/>
      <c r="F6" s="49"/>
      <c r="G6" s="49"/>
      <c r="H6" s="49"/>
      <c r="I6" s="49"/>
      <c r="J6" s="49"/>
    </row>
    <row r="7" spans="1:10" ht="12.75" customHeight="1">
      <c r="A7" s="48"/>
      <c r="B7" s="49"/>
      <c r="C7" s="49"/>
      <c r="D7" s="49"/>
      <c r="E7" s="49"/>
      <c r="F7" s="49"/>
      <c r="G7" s="49"/>
      <c r="H7" s="49"/>
      <c r="I7" s="49"/>
      <c r="J7" s="49"/>
    </row>
    <row r="8" spans="1:10" ht="12.75" customHeight="1">
      <c r="A8" s="48" t="s">
        <v>63</v>
      </c>
      <c r="B8" s="49"/>
      <c r="C8" s="49"/>
      <c r="D8" s="49"/>
      <c r="E8" s="49"/>
      <c r="F8" s="49"/>
      <c r="G8" s="49"/>
      <c r="H8" s="49"/>
      <c r="I8" s="49"/>
      <c r="J8" s="49"/>
    </row>
    <row r="9" ht="12.75" customHeight="1" thickBot="1"/>
    <row r="10" spans="1:10" ht="12.75" customHeight="1">
      <c r="A10" s="50"/>
      <c r="B10" s="51" t="s">
        <v>3</v>
      </c>
      <c r="C10" s="52"/>
      <c r="D10" s="52"/>
      <c r="E10" s="51" t="s">
        <v>4</v>
      </c>
      <c r="F10" s="52"/>
      <c r="G10" s="52"/>
      <c r="H10" s="51" t="s">
        <v>5</v>
      </c>
      <c r="I10" s="52"/>
      <c r="J10" s="52"/>
    </row>
    <row r="11" spans="1:10" ht="12.75" customHeight="1">
      <c r="A11" s="121" t="s">
        <v>17</v>
      </c>
      <c r="B11" s="53" t="s">
        <v>6</v>
      </c>
      <c r="C11" s="54" t="s">
        <v>7</v>
      </c>
      <c r="D11" s="54" t="s">
        <v>5</v>
      </c>
      <c r="E11" s="53" t="s">
        <v>6</v>
      </c>
      <c r="F11" s="54" t="s">
        <v>7</v>
      </c>
      <c r="G11" s="54" t="s">
        <v>5</v>
      </c>
      <c r="H11" s="53" t="s">
        <v>6</v>
      </c>
      <c r="I11" s="54" t="s">
        <v>7</v>
      </c>
      <c r="J11" s="54" t="s">
        <v>5</v>
      </c>
    </row>
    <row r="12" spans="1:10" ht="12.75" customHeight="1">
      <c r="A12" s="55"/>
      <c r="B12" s="56"/>
      <c r="C12" s="55"/>
      <c r="D12" s="55"/>
      <c r="E12" s="56"/>
      <c r="F12" s="55"/>
      <c r="G12" s="55"/>
      <c r="H12" s="56"/>
      <c r="I12" s="55"/>
      <c r="J12" s="55"/>
    </row>
    <row r="13" spans="1:10" ht="12.75" customHeight="1">
      <c r="A13" s="43" t="s">
        <v>18</v>
      </c>
      <c r="B13" s="57">
        <f aca="true" t="shared" si="0" ref="B13:J13">SUM(B36,B52,B68,B84)</f>
        <v>0</v>
      </c>
      <c r="C13" s="58">
        <f t="shared" si="0"/>
        <v>0</v>
      </c>
      <c r="D13" s="58">
        <f t="shared" si="0"/>
        <v>0</v>
      </c>
      <c r="E13" s="57">
        <f t="shared" si="0"/>
        <v>39</v>
      </c>
      <c r="F13" s="58">
        <f t="shared" si="0"/>
        <v>293</v>
      </c>
      <c r="G13" s="58">
        <f t="shared" si="0"/>
        <v>332</v>
      </c>
      <c r="H13" s="57">
        <f t="shared" si="0"/>
        <v>39</v>
      </c>
      <c r="I13" s="58">
        <f t="shared" si="0"/>
        <v>293</v>
      </c>
      <c r="J13" s="58">
        <f t="shared" si="0"/>
        <v>332</v>
      </c>
    </row>
    <row r="14" spans="1:10" ht="12.75" customHeight="1">
      <c r="A14" s="43" t="s">
        <v>19</v>
      </c>
      <c r="B14" s="57">
        <f aca="true" t="shared" si="1" ref="B14:J14">SUM(B37,B53,B69,B85)</f>
        <v>38</v>
      </c>
      <c r="C14" s="58">
        <f t="shared" si="1"/>
        <v>259</v>
      </c>
      <c r="D14" s="58">
        <f t="shared" si="1"/>
        <v>297</v>
      </c>
      <c r="E14" s="57">
        <f t="shared" si="1"/>
        <v>118</v>
      </c>
      <c r="F14" s="58">
        <f t="shared" si="1"/>
        <v>675</v>
      </c>
      <c r="G14" s="58">
        <f t="shared" si="1"/>
        <v>793</v>
      </c>
      <c r="H14" s="57">
        <f t="shared" si="1"/>
        <v>156</v>
      </c>
      <c r="I14" s="58">
        <f t="shared" si="1"/>
        <v>934</v>
      </c>
      <c r="J14" s="58">
        <f t="shared" si="1"/>
        <v>1090</v>
      </c>
    </row>
    <row r="15" spans="1:10" ht="12.75" customHeight="1">
      <c r="A15" s="43" t="s">
        <v>20</v>
      </c>
      <c r="B15" s="57">
        <f aca="true" t="shared" si="2" ref="B15:J15">SUM(B38,B54,B70,B86)</f>
        <v>135</v>
      </c>
      <c r="C15" s="58">
        <f t="shared" si="2"/>
        <v>804</v>
      </c>
      <c r="D15" s="58">
        <f t="shared" si="2"/>
        <v>939</v>
      </c>
      <c r="E15" s="57">
        <f t="shared" si="2"/>
        <v>64</v>
      </c>
      <c r="F15" s="58">
        <f t="shared" si="2"/>
        <v>258</v>
      </c>
      <c r="G15" s="58">
        <f t="shared" si="2"/>
        <v>322</v>
      </c>
      <c r="H15" s="57">
        <f t="shared" si="2"/>
        <v>199</v>
      </c>
      <c r="I15" s="58">
        <f t="shared" si="2"/>
        <v>1062</v>
      </c>
      <c r="J15" s="58">
        <f t="shared" si="2"/>
        <v>1261</v>
      </c>
    </row>
    <row r="16" spans="1:10" ht="12.75" customHeight="1">
      <c r="A16" s="43" t="s">
        <v>21</v>
      </c>
      <c r="B16" s="59">
        <f aca="true" t="shared" si="3" ref="B16:J16">SUM(B39,B55,B71,B87)</f>
        <v>145</v>
      </c>
      <c r="C16" s="58">
        <f t="shared" si="3"/>
        <v>774</v>
      </c>
      <c r="D16" s="58">
        <f t="shared" si="3"/>
        <v>919</v>
      </c>
      <c r="E16" s="57">
        <f t="shared" si="3"/>
        <v>24</v>
      </c>
      <c r="F16" s="58">
        <f t="shared" si="3"/>
        <v>91</v>
      </c>
      <c r="G16" s="58">
        <f t="shared" si="3"/>
        <v>115</v>
      </c>
      <c r="H16" s="57">
        <f t="shared" si="3"/>
        <v>169</v>
      </c>
      <c r="I16" s="58">
        <f t="shared" si="3"/>
        <v>865</v>
      </c>
      <c r="J16" s="58">
        <f t="shared" si="3"/>
        <v>1034</v>
      </c>
    </row>
    <row r="17" spans="1:10" ht="12.75" customHeight="1">
      <c r="A17" s="43" t="s">
        <v>22</v>
      </c>
      <c r="B17" s="59">
        <f aca="true" t="shared" si="4" ref="B17:J17">SUM(B40,B56,B72,B88)</f>
        <v>155</v>
      </c>
      <c r="C17" s="58">
        <f t="shared" si="4"/>
        <v>699</v>
      </c>
      <c r="D17" s="58">
        <f t="shared" si="4"/>
        <v>854</v>
      </c>
      <c r="E17" s="57">
        <f t="shared" si="4"/>
        <v>11</v>
      </c>
      <c r="F17" s="58">
        <f t="shared" si="4"/>
        <v>62</v>
      </c>
      <c r="G17" s="58">
        <f t="shared" si="4"/>
        <v>73</v>
      </c>
      <c r="H17" s="57">
        <f t="shared" si="4"/>
        <v>166</v>
      </c>
      <c r="I17" s="58">
        <f t="shared" si="4"/>
        <v>761</v>
      </c>
      <c r="J17" s="58">
        <f t="shared" si="4"/>
        <v>927</v>
      </c>
    </row>
    <row r="18" spans="1:10" ht="12.75" customHeight="1">
      <c r="A18" s="43" t="s">
        <v>23</v>
      </c>
      <c r="B18" s="59">
        <f aca="true" t="shared" si="5" ref="B18:J18">SUM(B41,B57,B73,B89)</f>
        <v>110</v>
      </c>
      <c r="C18" s="58">
        <f t="shared" si="5"/>
        <v>585</v>
      </c>
      <c r="D18" s="58">
        <f t="shared" si="5"/>
        <v>695</v>
      </c>
      <c r="E18" s="57">
        <f t="shared" si="5"/>
        <v>11</v>
      </c>
      <c r="F18" s="58">
        <f t="shared" si="5"/>
        <v>29</v>
      </c>
      <c r="G18" s="58">
        <f t="shared" si="5"/>
        <v>40</v>
      </c>
      <c r="H18" s="57">
        <f t="shared" si="5"/>
        <v>121</v>
      </c>
      <c r="I18" s="58">
        <f t="shared" si="5"/>
        <v>614</v>
      </c>
      <c r="J18" s="58">
        <f t="shared" si="5"/>
        <v>735</v>
      </c>
    </row>
    <row r="19" spans="1:10" ht="12.75" customHeight="1">
      <c r="A19" s="43" t="s">
        <v>24</v>
      </c>
      <c r="B19" s="59">
        <f aca="true" t="shared" si="6" ref="B19:J19">SUM(B42,B58,B74,B90)</f>
        <v>154</v>
      </c>
      <c r="C19" s="58">
        <f t="shared" si="6"/>
        <v>589</v>
      </c>
      <c r="D19" s="58">
        <f t="shared" si="6"/>
        <v>743</v>
      </c>
      <c r="E19" s="57">
        <f t="shared" si="6"/>
        <v>7</v>
      </c>
      <c r="F19" s="58">
        <f t="shared" si="6"/>
        <v>17</v>
      </c>
      <c r="G19" s="58">
        <f t="shared" si="6"/>
        <v>24</v>
      </c>
      <c r="H19" s="57">
        <f t="shared" si="6"/>
        <v>161</v>
      </c>
      <c r="I19" s="58">
        <f t="shared" si="6"/>
        <v>606</v>
      </c>
      <c r="J19" s="58">
        <f t="shared" si="6"/>
        <v>767</v>
      </c>
    </row>
    <row r="20" spans="1:10" ht="12.75" customHeight="1">
      <c r="A20" s="43" t="s">
        <v>25</v>
      </c>
      <c r="B20" s="59">
        <f aca="true" t="shared" si="7" ref="B20:J20">SUM(B43,B59,B75,B91)</f>
        <v>129</v>
      </c>
      <c r="C20" s="58">
        <f t="shared" si="7"/>
        <v>487</v>
      </c>
      <c r="D20" s="58">
        <f t="shared" si="7"/>
        <v>616</v>
      </c>
      <c r="E20" s="57">
        <f t="shared" si="7"/>
        <v>1</v>
      </c>
      <c r="F20" s="58">
        <f t="shared" si="7"/>
        <v>13</v>
      </c>
      <c r="G20" s="58">
        <f t="shared" si="7"/>
        <v>14</v>
      </c>
      <c r="H20" s="57">
        <f t="shared" si="7"/>
        <v>130</v>
      </c>
      <c r="I20" s="58">
        <f t="shared" si="7"/>
        <v>500</v>
      </c>
      <c r="J20" s="58">
        <f t="shared" si="7"/>
        <v>630</v>
      </c>
    </row>
    <row r="21" spans="1:10" ht="12.75" customHeight="1">
      <c r="A21" s="43" t="s">
        <v>26</v>
      </c>
      <c r="B21" s="59">
        <f aca="true" t="shared" si="8" ref="B21:J21">SUM(B44,B60,B76,B92)</f>
        <v>44</v>
      </c>
      <c r="C21" s="58">
        <f t="shared" si="8"/>
        <v>107</v>
      </c>
      <c r="D21" s="60">
        <f t="shared" si="8"/>
        <v>151</v>
      </c>
      <c r="E21" s="57">
        <f t="shared" si="8"/>
        <v>2</v>
      </c>
      <c r="F21" s="58">
        <f t="shared" si="8"/>
        <v>10</v>
      </c>
      <c r="G21" s="60">
        <f t="shared" si="8"/>
        <v>12</v>
      </c>
      <c r="H21" s="57">
        <f t="shared" si="8"/>
        <v>46</v>
      </c>
      <c r="I21" s="58">
        <f t="shared" si="8"/>
        <v>117</v>
      </c>
      <c r="J21" s="60">
        <f t="shared" si="8"/>
        <v>163</v>
      </c>
    </row>
    <row r="22" spans="1:10" ht="12.75" customHeight="1">
      <c r="A22" s="61" t="s">
        <v>5</v>
      </c>
      <c r="B22" s="62">
        <f aca="true" t="shared" si="9" ref="B22:J22">SUM(B45,B61,B77,B93)</f>
        <v>910</v>
      </c>
      <c r="C22" s="63">
        <f t="shared" si="9"/>
        <v>4304</v>
      </c>
      <c r="D22" s="63">
        <f t="shared" si="9"/>
        <v>5214</v>
      </c>
      <c r="E22" s="62">
        <f t="shared" si="9"/>
        <v>277</v>
      </c>
      <c r="F22" s="63">
        <f t="shared" si="9"/>
        <v>1448</v>
      </c>
      <c r="G22" s="63">
        <f t="shared" si="9"/>
        <v>1725</v>
      </c>
      <c r="H22" s="62">
        <f t="shared" si="9"/>
        <v>1187</v>
      </c>
      <c r="I22" s="63">
        <f t="shared" si="9"/>
        <v>5752</v>
      </c>
      <c r="J22" s="63">
        <f t="shared" si="9"/>
        <v>6939</v>
      </c>
    </row>
    <row r="24" spans="1:10" ht="12.75" customHeight="1">
      <c r="A24" s="42" t="s">
        <v>51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12.75" customHeight="1">
      <c r="A25" s="45" t="s">
        <v>15</v>
      </c>
      <c r="B25" s="46"/>
      <c r="C25" s="46"/>
      <c r="D25" s="46"/>
      <c r="E25" s="47"/>
      <c r="F25" s="47"/>
      <c r="G25" s="46"/>
      <c r="H25" s="46"/>
      <c r="I25" s="46"/>
      <c r="J25" s="46"/>
    </row>
    <row r="26" spans="1:10" ht="12.75" customHeight="1">
      <c r="A26" s="46"/>
      <c r="B26" s="46"/>
      <c r="C26" s="46"/>
      <c r="D26" s="46"/>
      <c r="E26" s="47"/>
      <c r="F26" s="45"/>
      <c r="G26" s="46"/>
      <c r="H26" s="46"/>
      <c r="I26" s="46"/>
      <c r="J26" s="46"/>
    </row>
    <row r="27" spans="1:10" ht="12.75" customHeight="1">
      <c r="A27" s="45" t="s">
        <v>53</v>
      </c>
      <c r="B27" s="46"/>
      <c r="C27" s="46"/>
      <c r="D27" s="46"/>
      <c r="E27" s="47"/>
      <c r="F27" s="47"/>
      <c r="G27" s="46"/>
      <c r="H27" s="46"/>
      <c r="I27" s="46"/>
      <c r="J27" s="46"/>
    </row>
    <row r="29" spans="1:10" ht="12.75" customHeight="1">
      <c r="A29" s="48" t="s">
        <v>27</v>
      </c>
      <c r="B29" s="49"/>
      <c r="C29" s="49"/>
      <c r="D29" s="49"/>
      <c r="E29" s="49"/>
      <c r="F29" s="49"/>
      <c r="G29" s="49"/>
      <c r="H29" s="49"/>
      <c r="I29" s="49"/>
      <c r="J29" s="49"/>
    </row>
    <row r="30" spans="1:10" ht="12.75" customHeight="1">
      <c r="A30" s="48"/>
      <c r="B30" s="49"/>
      <c r="C30" s="49"/>
      <c r="D30" s="49"/>
      <c r="E30" s="49"/>
      <c r="F30" s="49"/>
      <c r="G30" s="49"/>
      <c r="H30" s="49"/>
      <c r="I30" s="49"/>
      <c r="J30" s="49"/>
    </row>
    <row r="31" spans="1:10" ht="12.75" customHeight="1">
      <c r="A31" s="48" t="s">
        <v>29</v>
      </c>
      <c r="B31" s="49"/>
      <c r="C31" s="49"/>
      <c r="D31" s="49"/>
      <c r="E31" s="49"/>
      <c r="F31" s="49"/>
      <c r="G31" s="49"/>
      <c r="H31" s="49"/>
      <c r="I31" s="49"/>
      <c r="J31" s="49"/>
    </row>
    <row r="32" ht="12.75" customHeight="1" thickBot="1"/>
    <row r="33" spans="1:10" ht="12.75" customHeight="1">
      <c r="A33" s="50"/>
      <c r="B33" s="51" t="s">
        <v>3</v>
      </c>
      <c r="C33" s="52"/>
      <c r="D33" s="52"/>
      <c r="E33" s="51" t="s">
        <v>4</v>
      </c>
      <c r="F33" s="52"/>
      <c r="G33" s="52"/>
      <c r="H33" s="51" t="s">
        <v>5</v>
      </c>
      <c r="I33" s="52"/>
      <c r="J33" s="52"/>
    </row>
    <row r="34" spans="1:10" ht="12.75" customHeight="1">
      <c r="A34" s="121" t="s">
        <v>17</v>
      </c>
      <c r="B34" s="53" t="s">
        <v>6</v>
      </c>
      <c r="C34" s="54" t="s">
        <v>7</v>
      </c>
      <c r="D34" s="54" t="s">
        <v>5</v>
      </c>
      <c r="E34" s="53" t="s">
        <v>6</v>
      </c>
      <c r="F34" s="54" t="s">
        <v>7</v>
      </c>
      <c r="G34" s="54" t="s">
        <v>5</v>
      </c>
      <c r="H34" s="53" t="s">
        <v>6</v>
      </c>
      <c r="I34" s="54" t="s">
        <v>7</v>
      </c>
      <c r="J34" s="54" t="s">
        <v>5</v>
      </c>
    </row>
    <row r="35" spans="1:10" ht="12.75" customHeight="1">
      <c r="A35" s="55"/>
      <c r="B35" s="56"/>
      <c r="C35" s="55"/>
      <c r="D35" s="55"/>
      <c r="E35" s="56"/>
      <c r="F35" s="55"/>
      <c r="G35" s="55"/>
      <c r="H35" s="56"/>
      <c r="I35" s="55"/>
      <c r="J35" s="55"/>
    </row>
    <row r="36" spans="1:10" ht="12.75" customHeight="1">
      <c r="A36" s="43" t="s">
        <v>18</v>
      </c>
      <c r="B36" s="57">
        <f>0</f>
        <v>0</v>
      </c>
      <c r="C36" s="58">
        <f>0</f>
        <v>0</v>
      </c>
      <c r="D36" s="58">
        <f>SUM(B36:C36)</f>
        <v>0</v>
      </c>
      <c r="E36" s="57">
        <f>6</f>
        <v>6</v>
      </c>
      <c r="F36" s="58">
        <f>75</f>
        <v>75</v>
      </c>
      <c r="G36" s="58">
        <f aca="true" t="shared" si="10" ref="G36:G44">SUM(E36:F36)</f>
        <v>81</v>
      </c>
      <c r="H36" s="57">
        <f>SUM(B36,E36)</f>
        <v>6</v>
      </c>
      <c r="I36" s="58">
        <f>SUM(C36,F36)</f>
        <v>75</v>
      </c>
      <c r="J36" s="58">
        <f aca="true" t="shared" si="11" ref="J36:J44">SUM(H36:I36)</f>
        <v>81</v>
      </c>
    </row>
    <row r="37" spans="1:10" ht="12.75" customHeight="1">
      <c r="A37" s="43" t="s">
        <v>19</v>
      </c>
      <c r="B37" s="57">
        <f>11</f>
        <v>11</v>
      </c>
      <c r="C37" s="58">
        <f>80</f>
        <v>80</v>
      </c>
      <c r="D37" s="58">
        <f aca="true" t="shared" si="12" ref="D37:D44">SUM(B37:C37)</f>
        <v>91</v>
      </c>
      <c r="E37" s="57">
        <f>31</f>
        <v>31</v>
      </c>
      <c r="F37" s="58">
        <f>176</f>
        <v>176</v>
      </c>
      <c r="G37" s="58">
        <f t="shared" si="10"/>
        <v>207</v>
      </c>
      <c r="H37" s="57">
        <f aca="true" t="shared" si="13" ref="H37:I44">SUM(B37,E37)</f>
        <v>42</v>
      </c>
      <c r="I37" s="58">
        <f t="shared" si="13"/>
        <v>256</v>
      </c>
      <c r="J37" s="58">
        <f t="shared" si="11"/>
        <v>298</v>
      </c>
    </row>
    <row r="38" spans="1:10" ht="12.75" customHeight="1">
      <c r="A38" s="43" t="s">
        <v>20</v>
      </c>
      <c r="B38" s="57">
        <f>40</f>
        <v>40</v>
      </c>
      <c r="C38" s="58">
        <f>220</f>
        <v>220</v>
      </c>
      <c r="D38" s="58">
        <f t="shared" si="12"/>
        <v>260</v>
      </c>
      <c r="E38" s="57">
        <f>20</f>
        <v>20</v>
      </c>
      <c r="F38" s="58">
        <f>68</f>
        <v>68</v>
      </c>
      <c r="G38" s="58">
        <f t="shared" si="10"/>
        <v>88</v>
      </c>
      <c r="H38" s="57">
        <f t="shared" si="13"/>
        <v>60</v>
      </c>
      <c r="I38" s="58">
        <f t="shared" si="13"/>
        <v>288</v>
      </c>
      <c r="J38" s="58">
        <f t="shared" si="11"/>
        <v>348</v>
      </c>
    </row>
    <row r="39" spans="1:10" ht="12.75" customHeight="1">
      <c r="A39" s="43" t="s">
        <v>21</v>
      </c>
      <c r="B39" s="59">
        <f>27</f>
        <v>27</v>
      </c>
      <c r="C39" s="58">
        <f>204</f>
        <v>204</v>
      </c>
      <c r="D39" s="58">
        <f t="shared" si="12"/>
        <v>231</v>
      </c>
      <c r="E39" s="57">
        <f>6</f>
        <v>6</v>
      </c>
      <c r="F39" s="58">
        <f>22</f>
        <v>22</v>
      </c>
      <c r="G39" s="58">
        <f t="shared" si="10"/>
        <v>28</v>
      </c>
      <c r="H39" s="57">
        <f t="shared" si="13"/>
        <v>33</v>
      </c>
      <c r="I39" s="58">
        <f t="shared" si="13"/>
        <v>226</v>
      </c>
      <c r="J39" s="58">
        <f t="shared" si="11"/>
        <v>259</v>
      </c>
    </row>
    <row r="40" spans="1:10" ht="12.75" customHeight="1">
      <c r="A40" s="43" t="s">
        <v>22</v>
      </c>
      <c r="B40" s="59">
        <f>40</f>
        <v>40</v>
      </c>
      <c r="C40" s="58">
        <f>149</f>
        <v>149</v>
      </c>
      <c r="D40" s="58">
        <f t="shared" si="12"/>
        <v>189</v>
      </c>
      <c r="E40" s="57">
        <f>6</f>
        <v>6</v>
      </c>
      <c r="F40" s="58">
        <f>22</f>
        <v>22</v>
      </c>
      <c r="G40" s="58">
        <f t="shared" si="10"/>
        <v>28</v>
      </c>
      <c r="H40" s="57">
        <f t="shared" si="13"/>
        <v>46</v>
      </c>
      <c r="I40" s="58">
        <f t="shared" si="13"/>
        <v>171</v>
      </c>
      <c r="J40" s="58">
        <f t="shared" si="11"/>
        <v>217</v>
      </c>
    </row>
    <row r="41" spans="1:10" ht="12.75" customHeight="1">
      <c r="A41" s="43" t="s">
        <v>23</v>
      </c>
      <c r="B41" s="59">
        <f>11</f>
        <v>11</v>
      </c>
      <c r="C41" s="58">
        <f>113</f>
        <v>113</v>
      </c>
      <c r="D41" s="58">
        <f t="shared" si="12"/>
        <v>124</v>
      </c>
      <c r="E41" s="57">
        <f>5</f>
        <v>5</v>
      </c>
      <c r="F41" s="58">
        <f>9</f>
        <v>9</v>
      </c>
      <c r="G41" s="58">
        <f t="shared" si="10"/>
        <v>14</v>
      </c>
      <c r="H41" s="57">
        <f t="shared" si="13"/>
        <v>16</v>
      </c>
      <c r="I41" s="58">
        <f t="shared" si="13"/>
        <v>122</v>
      </c>
      <c r="J41" s="58">
        <f t="shared" si="11"/>
        <v>138</v>
      </c>
    </row>
    <row r="42" spans="1:10" ht="12.75" customHeight="1">
      <c r="A42" s="43" t="s">
        <v>24</v>
      </c>
      <c r="B42" s="59">
        <f>31</f>
        <v>31</v>
      </c>
      <c r="C42" s="58">
        <f>129</f>
        <v>129</v>
      </c>
      <c r="D42" s="58">
        <f t="shared" si="12"/>
        <v>160</v>
      </c>
      <c r="E42" s="57">
        <f>3</f>
        <v>3</v>
      </c>
      <c r="F42" s="58">
        <f>7</f>
        <v>7</v>
      </c>
      <c r="G42" s="58">
        <f t="shared" si="10"/>
        <v>10</v>
      </c>
      <c r="H42" s="57">
        <f t="shared" si="13"/>
        <v>34</v>
      </c>
      <c r="I42" s="58">
        <f t="shared" si="13"/>
        <v>136</v>
      </c>
      <c r="J42" s="58">
        <f t="shared" si="11"/>
        <v>170</v>
      </c>
    </row>
    <row r="43" spans="1:10" ht="12.75" customHeight="1">
      <c r="A43" s="43" t="s">
        <v>25</v>
      </c>
      <c r="B43" s="59">
        <f>28</f>
        <v>28</v>
      </c>
      <c r="C43" s="58">
        <f>139</f>
        <v>139</v>
      </c>
      <c r="D43" s="58">
        <f t="shared" si="12"/>
        <v>167</v>
      </c>
      <c r="E43" s="57">
        <f>1</f>
        <v>1</v>
      </c>
      <c r="F43" s="58">
        <f>7</f>
        <v>7</v>
      </c>
      <c r="G43" s="58">
        <f t="shared" si="10"/>
        <v>8</v>
      </c>
      <c r="H43" s="57">
        <f t="shared" si="13"/>
        <v>29</v>
      </c>
      <c r="I43" s="58">
        <f t="shared" si="13"/>
        <v>146</v>
      </c>
      <c r="J43" s="58">
        <f t="shared" si="11"/>
        <v>175</v>
      </c>
    </row>
    <row r="44" spans="1:10" ht="12.75" customHeight="1">
      <c r="A44" s="43" t="s">
        <v>26</v>
      </c>
      <c r="B44" s="59">
        <f>16+2</f>
        <v>18</v>
      </c>
      <c r="C44" s="58">
        <f>26+0</f>
        <v>26</v>
      </c>
      <c r="D44" s="58">
        <f t="shared" si="12"/>
        <v>44</v>
      </c>
      <c r="E44" s="57">
        <f>0+2</f>
        <v>2</v>
      </c>
      <c r="F44" s="58">
        <f>3+0</f>
        <v>3</v>
      </c>
      <c r="G44" s="60">
        <f t="shared" si="10"/>
        <v>5</v>
      </c>
      <c r="H44" s="57">
        <f t="shared" si="13"/>
        <v>20</v>
      </c>
      <c r="I44" s="58">
        <f t="shared" si="13"/>
        <v>29</v>
      </c>
      <c r="J44" s="60">
        <f t="shared" si="11"/>
        <v>49</v>
      </c>
    </row>
    <row r="45" spans="1:10" ht="12.75" customHeight="1">
      <c r="A45" s="61" t="s">
        <v>5</v>
      </c>
      <c r="B45" s="62">
        <f>SUM(B36:B44)</f>
        <v>206</v>
      </c>
      <c r="C45" s="63">
        <f aca="true" t="shared" si="14" ref="C45:J45">SUM(C36:C44)</f>
        <v>1060</v>
      </c>
      <c r="D45" s="63">
        <f t="shared" si="14"/>
        <v>1266</v>
      </c>
      <c r="E45" s="62">
        <f t="shared" si="14"/>
        <v>80</v>
      </c>
      <c r="F45" s="63">
        <f t="shared" si="14"/>
        <v>389</v>
      </c>
      <c r="G45" s="63">
        <f t="shared" si="14"/>
        <v>469</v>
      </c>
      <c r="H45" s="62">
        <f t="shared" si="14"/>
        <v>286</v>
      </c>
      <c r="I45" s="63">
        <f t="shared" si="14"/>
        <v>1449</v>
      </c>
      <c r="J45" s="63">
        <f t="shared" si="14"/>
        <v>1735</v>
      </c>
    </row>
    <row r="47" spans="1:10" ht="12.75" customHeight="1">
      <c r="A47" s="48" t="s">
        <v>9</v>
      </c>
      <c r="B47" s="49"/>
      <c r="C47" s="49"/>
      <c r="D47" s="49"/>
      <c r="E47" s="49"/>
      <c r="F47" s="49"/>
      <c r="G47" s="49"/>
      <c r="H47" s="49"/>
      <c r="I47" s="49"/>
      <c r="J47" s="49"/>
    </row>
    <row r="48" ht="12.75" customHeight="1" thickBot="1"/>
    <row r="49" spans="1:10" ht="12.75" customHeight="1">
      <c r="A49" s="50"/>
      <c r="B49" s="51" t="s">
        <v>3</v>
      </c>
      <c r="C49" s="52"/>
      <c r="D49" s="52"/>
      <c r="E49" s="51" t="s">
        <v>4</v>
      </c>
      <c r="F49" s="52"/>
      <c r="G49" s="52"/>
      <c r="H49" s="51" t="s">
        <v>5</v>
      </c>
      <c r="I49" s="52"/>
      <c r="J49" s="52"/>
    </row>
    <row r="50" spans="1:10" ht="12.75" customHeight="1">
      <c r="A50" s="121" t="s">
        <v>17</v>
      </c>
      <c r="B50" s="53" t="s">
        <v>6</v>
      </c>
      <c r="C50" s="54" t="s">
        <v>7</v>
      </c>
      <c r="D50" s="54" t="s">
        <v>5</v>
      </c>
      <c r="E50" s="53" t="s">
        <v>6</v>
      </c>
      <c r="F50" s="54" t="s">
        <v>7</v>
      </c>
      <c r="G50" s="54" t="s">
        <v>5</v>
      </c>
      <c r="H50" s="53" t="s">
        <v>6</v>
      </c>
      <c r="I50" s="54" t="s">
        <v>7</v>
      </c>
      <c r="J50" s="54" t="s">
        <v>5</v>
      </c>
    </row>
    <row r="51" spans="1:10" ht="12.75" customHeight="1">
      <c r="A51" s="55"/>
      <c r="B51" s="56"/>
      <c r="C51" s="55"/>
      <c r="D51" s="55"/>
      <c r="E51" s="56"/>
      <c r="F51" s="55"/>
      <c r="G51" s="55"/>
      <c r="H51" s="56"/>
      <c r="I51" s="55"/>
      <c r="J51" s="55"/>
    </row>
    <row r="52" spans="1:10" ht="12.75" customHeight="1">
      <c r="A52" s="43" t="s">
        <v>18</v>
      </c>
      <c r="B52" s="57">
        <f>0</f>
        <v>0</v>
      </c>
      <c r="C52" s="58">
        <f>0</f>
        <v>0</v>
      </c>
      <c r="D52" s="58">
        <f>SUM(B52:C52)</f>
        <v>0</v>
      </c>
      <c r="E52" s="57">
        <v>30</v>
      </c>
      <c r="F52" s="58">
        <v>182</v>
      </c>
      <c r="G52" s="58">
        <f aca="true" t="shared" si="15" ref="G52:G60">SUM(E52:F52)</f>
        <v>212</v>
      </c>
      <c r="H52" s="57">
        <f>SUM(B52,E52)</f>
        <v>30</v>
      </c>
      <c r="I52" s="58">
        <f>SUM(C52,F52)</f>
        <v>182</v>
      </c>
      <c r="J52" s="58">
        <f aca="true" t="shared" si="16" ref="J52:J60">SUM(H52:I52)</f>
        <v>212</v>
      </c>
    </row>
    <row r="53" spans="1:10" ht="12.75" customHeight="1">
      <c r="A53" s="43" t="s">
        <v>19</v>
      </c>
      <c r="B53" s="57">
        <v>23</v>
      </c>
      <c r="C53" s="58">
        <v>135</v>
      </c>
      <c r="D53" s="58">
        <f>SUM(B53:C53)</f>
        <v>158</v>
      </c>
      <c r="E53" s="57">
        <v>71</v>
      </c>
      <c r="F53" s="58">
        <v>393</v>
      </c>
      <c r="G53" s="58">
        <f t="shared" si="15"/>
        <v>464</v>
      </c>
      <c r="H53" s="57">
        <f aca="true" t="shared" si="17" ref="H53:I60">SUM(B53,E53)</f>
        <v>94</v>
      </c>
      <c r="I53" s="58">
        <f t="shared" si="17"/>
        <v>528</v>
      </c>
      <c r="J53" s="58">
        <f t="shared" si="16"/>
        <v>622</v>
      </c>
    </row>
    <row r="54" spans="1:10" ht="12.75" customHeight="1">
      <c r="A54" s="43" t="s">
        <v>20</v>
      </c>
      <c r="B54" s="57">
        <v>79</v>
      </c>
      <c r="C54" s="58">
        <v>450</v>
      </c>
      <c r="D54" s="58">
        <f aca="true" t="shared" si="18" ref="D54:D60">SUM(B54:C54)</f>
        <v>529</v>
      </c>
      <c r="E54" s="57">
        <v>32</v>
      </c>
      <c r="F54" s="58">
        <v>153</v>
      </c>
      <c r="G54" s="58">
        <f t="shared" si="15"/>
        <v>185</v>
      </c>
      <c r="H54" s="57">
        <f t="shared" si="17"/>
        <v>111</v>
      </c>
      <c r="I54" s="58">
        <f t="shared" si="17"/>
        <v>603</v>
      </c>
      <c r="J54" s="58">
        <f t="shared" si="16"/>
        <v>714</v>
      </c>
    </row>
    <row r="55" spans="1:10" ht="12.75" customHeight="1">
      <c r="A55" s="43" t="s">
        <v>21</v>
      </c>
      <c r="B55" s="59">
        <v>102</v>
      </c>
      <c r="C55" s="58">
        <v>463</v>
      </c>
      <c r="D55" s="58">
        <f t="shared" si="18"/>
        <v>565</v>
      </c>
      <c r="E55" s="57">
        <v>11</v>
      </c>
      <c r="F55" s="58">
        <v>59</v>
      </c>
      <c r="G55" s="58">
        <f t="shared" si="15"/>
        <v>70</v>
      </c>
      <c r="H55" s="57">
        <f t="shared" si="17"/>
        <v>113</v>
      </c>
      <c r="I55" s="58">
        <f t="shared" si="17"/>
        <v>522</v>
      </c>
      <c r="J55" s="58">
        <f t="shared" si="16"/>
        <v>635</v>
      </c>
    </row>
    <row r="56" spans="1:10" ht="12.75" customHeight="1">
      <c r="A56" s="43" t="s">
        <v>22</v>
      </c>
      <c r="B56" s="59">
        <v>101</v>
      </c>
      <c r="C56" s="58">
        <v>449</v>
      </c>
      <c r="D56" s="58">
        <f t="shared" si="18"/>
        <v>550</v>
      </c>
      <c r="E56" s="57">
        <v>3</v>
      </c>
      <c r="F56" s="58">
        <v>30</v>
      </c>
      <c r="G56" s="58">
        <f t="shared" si="15"/>
        <v>33</v>
      </c>
      <c r="H56" s="57">
        <f t="shared" si="17"/>
        <v>104</v>
      </c>
      <c r="I56" s="58">
        <f t="shared" si="17"/>
        <v>479</v>
      </c>
      <c r="J56" s="58">
        <f t="shared" si="16"/>
        <v>583</v>
      </c>
    </row>
    <row r="57" spans="1:10" ht="12.75" customHeight="1">
      <c r="A57" s="43" t="s">
        <v>23</v>
      </c>
      <c r="B57" s="59">
        <v>82</v>
      </c>
      <c r="C57" s="58">
        <v>393</v>
      </c>
      <c r="D57" s="58">
        <f t="shared" si="18"/>
        <v>475</v>
      </c>
      <c r="E57" s="57">
        <v>3</v>
      </c>
      <c r="F57" s="58">
        <v>18</v>
      </c>
      <c r="G57" s="58">
        <f t="shared" si="15"/>
        <v>21</v>
      </c>
      <c r="H57" s="57">
        <f t="shared" si="17"/>
        <v>85</v>
      </c>
      <c r="I57" s="58">
        <f t="shared" si="17"/>
        <v>411</v>
      </c>
      <c r="J57" s="58">
        <f t="shared" si="16"/>
        <v>496</v>
      </c>
    </row>
    <row r="58" spans="1:10" ht="12.75" customHeight="1">
      <c r="A58" s="43" t="s">
        <v>24</v>
      </c>
      <c r="B58" s="59">
        <v>93</v>
      </c>
      <c r="C58" s="58">
        <v>365</v>
      </c>
      <c r="D58" s="58">
        <f t="shared" si="18"/>
        <v>458</v>
      </c>
      <c r="E58" s="57">
        <v>2</v>
      </c>
      <c r="F58" s="58">
        <v>8</v>
      </c>
      <c r="G58" s="58">
        <f t="shared" si="15"/>
        <v>10</v>
      </c>
      <c r="H58" s="57">
        <f t="shared" si="17"/>
        <v>95</v>
      </c>
      <c r="I58" s="58">
        <f t="shared" si="17"/>
        <v>373</v>
      </c>
      <c r="J58" s="58">
        <f t="shared" si="16"/>
        <v>468</v>
      </c>
    </row>
    <row r="59" spans="1:10" ht="12.75" customHeight="1">
      <c r="A59" s="43" t="s">
        <v>25</v>
      </c>
      <c r="B59" s="59">
        <v>86</v>
      </c>
      <c r="C59" s="58">
        <v>253</v>
      </c>
      <c r="D59" s="58">
        <f t="shared" si="18"/>
        <v>339</v>
      </c>
      <c r="E59" s="57">
        <f>0</f>
        <v>0</v>
      </c>
      <c r="F59" s="58">
        <v>4</v>
      </c>
      <c r="G59" s="58">
        <f t="shared" si="15"/>
        <v>4</v>
      </c>
      <c r="H59" s="57">
        <f t="shared" si="17"/>
        <v>86</v>
      </c>
      <c r="I59" s="58">
        <f t="shared" si="17"/>
        <v>257</v>
      </c>
      <c r="J59" s="58">
        <f t="shared" si="16"/>
        <v>343</v>
      </c>
    </row>
    <row r="60" spans="1:10" ht="12.75" customHeight="1">
      <c r="A60" s="43" t="s">
        <v>26</v>
      </c>
      <c r="B60" s="59">
        <f>22+1</f>
        <v>23</v>
      </c>
      <c r="C60" s="58">
        <f>62+2</f>
        <v>64</v>
      </c>
      <c r="D60" s="60">
        <f t="shared" si="18"/>
        <v>87</v>
      </c>
      <c r="E60" s="57">
        <f>0</f>
        <v>0</v>
      </c>
      <c r="F60" s="58">
        <f>2+2</f>
        <v>4</v>
      </c>
      <c r="G60" s="60">
        <f t="shared" si="15"/>
        <v>4</v>
      </c>
      <c r="H60" s="57">
        <f t="shared" si="17"/>
        <v>23</v>
      </c>
      <c r="I60" s="58">
        <f t="shared" si="17"/>
        <v>68</v>
      </c>
      <c r="J60" s="60">
        <f t="shared" si="16"/>
        <v>91</v>
      </c>
    </row>
    <row r="61" spans="1:10" ht="12.75" customHeight="1">
      <c r="A61" s="61" t="s">
        <v>5</v>
      </c>
      <c r="B61" s="62">
        <f>SUM(B52:B60)</f>
        <v>589</v>
      </c>
      <c r="C61" s="63">
        <f aca="true" t="shared" si="19" ref="C61:J61">SUM(C52:C60)</f>
        <v>2572</v>
      </c>
      <c r="D61" s="63">
        <f t="shared" si="19"/>
        <v>3161</v>
      </c>
      <c r="E61" s="62">
        <f t="shared" si="19"/>
        <v>152</v>
      </c>
      <c r="F61" s="63">
        <f t="shared" si="19"/>
        <v>851</v>
      </c>
      <c r="G61" s="63">
        <f t="shared" si="19"/>
        <v>1003</v>
      </c>
      <c r="H61" s="62">
        <f t="shared" si="19"/>
        <v>741</v>
      </c>
      <c r="I61" s="63">
        <f t="shared" si="19"/>
        <v>3423</v>
      </c>
      <c r="J61" s="63">
        <f t="shared" si="19"/>
        <v>4164</v>
      </c>
    </row>
    <row r="63" spans="1:10" ht="12.75" customHeight="1">
      <c r="A63" s="48" t="s">
        <v>10</v>
      </c>
      <c r="B63" s="49"/>
      <c r="C63" s="49"/>
      <c r="D63" s="49"/>
      <c r="E63" s="49"/>
      <c r="F63" s="49"/>
      <c r="G63" s="49"/>
      <c r="H63" s="49"/>
      <c r="I63" s="49"/>
      <c r="J63" s="49"/>
    </row>
    <row r="64" ht="12.75" customHeight="1" thickBot="1"/>
    <row r="65" spans="1:10" ht="12.75" customHeight="1">
      <c r="A65" s="50"/>
      <c r="B65" s="51" t="s">
        <v>3</v>
      </c>
      <c r="C65" s="52"/>
      <c r="D65" s="52"/>
      <c r="E65" s="51" t="s">
        <v>4</v>
      </c>
      <c r="F65" s="52"/>
      <c r="G65" s="52"/>
      <c r="H65" s="51" t="s">
        <v>5</v>
      </c>
      <c r="I65" s="52"/>
      <c r="J65" s="52"/>
    </row>
    <row r="66" spans="1:10" ht="12.75" customHeight="1">
      <c r="A66" s="121" t="s">
        <v>17</v>
      </c>
      <c r="B66" s="53" t="s">
        <v>6</v>
      </c>
      <c r="C66" s="54" t="s">
        <v>7</v>
      </c>
      <c r="D66" s="54" t="s">
        <v>5</v>
      </c>
      <c r="E66" s="53" t="s">
        <v>6</v>
      </c>
      <c r="F66" s="54" t="s">
        <v>7</v>
      </c>
      <c r="G66" s="54" t="s">
        <v>5</v>
      </c>
      <c r="H66" s="53" t="s">
        <v>6</v>
      </c>
      <c r="I66" s="54" t="s">
        <v>7</v>
      </c>
      <c r="J66" s="54" t="s">
        <v>5</v>
      </c>
    </row>
    <row r="67" spans="1:10" ht="12.75" customHeight="1">
      <c r="A67" s="55"/>
      <c r="B67" s="56"/>
      <c r="C67" s="55"/>
      <c r="D67" s="55"/>
      <c r="E67" s="56"/>
      <c r="F67" s="55"/>
      <c r="G67" s="55"/>
      <c r="H67" s="56"/>
      <c r="I67" s="55"/>
      <c r="J67" s="55"/>
    </row>
    <row r="68" spans="1:10" ht="12.75" customHeight="1">
      <c r="A68" s="43" t="s">
        <v>18</v>
      </c>
      <c r="B68" s="57"/>
      <c r="C68" s="58"/>
      <c r="D68" s="58">
        <f>SUM(B68:C68)</f>
        <v>0</v>
      </c>
      <c r="E68" s="57">
        <v>1</v>
      </c>
      <c r="F68" s="58">
        <v>4</v>
      </c>
      <c r="G68" s="58">
        <f aca="true" t="shared" si="20" ref="G68:G76">SUM(E68:F68)</f>
        <v>5</v>
      </c>
      <c r="H68" s="57">
        <f>SUM(B68,E68)</f>
        <v>1</v>
      </c>
      <c r="I68" s="58">
        <f>SUM(C68,F68)</f>
        <v>4</v>
      </c>
      <c r="J68" s="58">
        <f aca="true" t="shared" si="21" ref="J68:J76">SUM(H68:I68)</f>
        <v>5</v>
      </c>
    </row>
    <row r="69" spans="1:10" ht="12.75" customHeight="1">
      <c r="A69" s="43" t="s">
        <v>19</v>
      </c>
      <c r="B69" s="57">
        <v>1</v>
      </c>
      <c r="C69" s="58">
        <v>5</v>
      </c>
      <c r="D69" s="58">
        <f aca="true" t="shared" si="22" ref="D69:D76">SUM(B69:C69)</f>
        <v>6</v>
      </c>
      <c r="E69" s="57">
        <v>1</v>
      </c>
      <c r="F69" s="58">
        <v>9</v>
      </c>
      <c r="G69" s="58">
        <f t="shared" si="20"/>
        <v>10</v>
      </c>
      <c r="H69" s="57">
        <f aca="true" t="shared" si="23" ref="H69:I76">SUM(B69,E69)</f>
        <v>2</v>
      </c>
      <c r="I69" s="58">
        <f t="shared" si="23"/>
        <v>14</v>
      </c>
      <c r="J69" s="58">
        <f t="shared" si="21"/>
        <v>16</v>
      </c>
    </row>
    <row r="70" spans="1:10" ht="12.75" customHeight="1">
      <c r="A70" s="43" t="s">
        <v>20</v>
      </c>
      <c r="B70" s="57">
        <v>1</v>
      </c>
      <c r="C70" s="58">
        <v>24</v>
      </c>
      <c r="D70" s="58">
        <f t="shared" si="22"/>
        <v>25</v>
      </c>
      <c r="E70" s="57">
        <f>0</f>
        <v>0</v>
      </c>
      <c r="F70" s="58">
        <v>6</v>
      </c>
      <c r="G70" s="58">
        <f t="shared" si="20"/>
        <v>6</v>
      </c>
      <c r="H70" s="57">
        <f t="shared" si="23"/>
        <v>1</v>
      </c>
      <c r="I70" s="58">
        <f t="shared" si="23"/>
        <v>30</v>
      </c>
      <c r="J70" s="58">
        <f t="shared" si="21"/>
        <v>31</v>
      </c>
    </row>
    <row r="71" spans="1:10" ht="12.75" customHeight="1">
      <c r="A71" s="43" t="s">
        <v>21</v>
      </c>
      <c r="B71" s="59">
        <v>5</v>
      </c>
      <c r="C71" s="58">
        <v>16</v>
      </c>
      <c r="D71" s="58">
        <f t="shared" si="22"/>
        <v>21</v>
      </c>
      <c r="E71" s="57">
        <f>0</f>
        <v>0</v>
      </c>
      <c r="F71" s="58">
        <v>3</v>
      </c>
      <c r="G71" s="58">
        <f t="shared" si="20"/>
        <v>3</v>
      </c>
      <c r="H71" s="57">
        <f t="shared" si="23"/>
        <v>5</v>
      </c>
      <c r="I71" s="58">
        <f t="shared" si="23"/>
        <v>19</v>
      </c>
      <c r="J71" s="58">
        <f t="shared" si="21"/>
        <v>24</v>
      </c>
    </row>
    <row r="72" spans="1:10" ht="12.75" customHeight="1">
      <c r="A72" s="43" t="s">
        <v>22</v>
      </c>
      <c r="B72" s="59">
        <v>3</v>
      </c>
      <c r="C72" s="58">
        <v>16</v>
      </c>
      <c r="D72" s="58">
        <f t="shared" si="22"/>
        <v>19</v>
      </c>
      <c r="E72" s="57">
        <f>0</f>
        <v>0</v>
      </c>
      <c r="F72" s="58">
        <f>0</f>
        <v>0</v>
      </c>
      <c r="G72" s="58">
        <f t="shared" si="20"/>
        <v>0</v>
      </c>
      <c r="H72" s="57">
        <f t="shared" si="23"/>
        <v>3</v>
      </c>
      <c r="I72" s="58">
        <f t="shared" si="23"/>
        <v>16</v>
      </c>
      <c r="J72" s="58">
        <f t="shared" si="21"/>
        <v>19</v>
      </c>
    </row>
    <row r="73" spans="1:10" ht="12.75" customHeight="1">
      <c r="A73" s="43" t="s">
        <v>23</v>
      </c>
      <c r="B73" s="59">
        <v>2</v>
      </c>
      <c r="C73" s="58">
        <v>8</v>
      </c>
      <c r="D73" s="58">
        <f t="shared" si="22"/>
        <v>10</v>
      </c>
      <c r="E73" s="57">
        <f>0</f>
        <v>0</v>
      </c>
      <c r="F73" s="58">
        <f>0</f>
        <v>0</v>
      </c>
      <c r="G73" s="58">
        <f t="shared" si="20"/>
        <v>0</v>
      </c>
      <c r="H73" s="57">
        <f t="shared" si="23"/>
        <v>2</v>
      </c>
      <c r="I73" s="58">
        <f t="shared" si="23"/>
        <v>8</v>
      </c>
      <c r="J73" s="58">
        <f t="shared" si="21"/>
        <v>10</v>
      </c>
    </row>
    <row r="74" spans="1:10" ht="12.75" customHeight="1">
      <c r="A74" s="43" t="s">
        <v>24</v>
      </c>
      <c r="B74" s="59">
        <v>4</v>
      </c>
      <c r="C74" s="58">
        <v>8</v>
      </c>
      <c r="D74" s="58">
        <f t="shared" si="22"/>
        <v>12</v>
      </c>
      <c r="E74" s="57">
        <f>0</f>
        <v>0</v>
      </c>
      <c r="F74" s="58">
        <f>0</f>
        <v>0</v>
      </c>
      <c r="G74" s="58">
        <f t="shared" si="20"/>
        <v>0</v>
      </c>
      <c r="H74" s="57">
        <f t="shared" si="23"/>
        <v>4</v>
      </c>
      <c r="I74" s="58">
        <f t="shared" si="23"/>
        <v>8</v>
      </c>
      <c r="J74" s="58">
        <f t="shared" si="21"/>
        <v>12</v>
      </c>
    </row>
    <row r="75" spans="1:10" ht="12.75" customHeight="1">
      <c r="A75" s="43" t="s">
        <v>25</v>
      </c>
      <c r="B75" s="59">
        <f>0</f>
        <v>0</v>
      </c>
      <c r="C75" s="58">
        <v>3</v>
      </c>
      <c r="D75" s="58">
        <f t="shared" si="22"/>
        <v>3</v>
      </c>
      <c r="E75" s="57">
        <f>0</f>
        <v>0</v>
      </c>
      <c r="F75" s="58">
        <f>0</f>
        <v>0</v>
      </c>
      <c r="G75" s="58">
        <f t="shared" si="20"/>
        <v>0</v>
      </c>
      <c r="H75" s="57">
        <f t="shared" si="23"/>
        <v>0</v>
      </c>
      <c r="I75" s="58">
        <f t="shared" si="23"/>
        <v>3</v>
      </c>
      <c r="J75" s="58">
        <f t="shared" si="21"/>
        <v>3</v>
      </c>
    </row>
    <row r="76" spans="1:10" ht="12.75" customHeight="1">
      <c r="A76" s="43" t="s">
        <v>26</v>
      </c>
      <c r="B76" s="59">
        <f>0</f>
        <v>0</v>
      </c>
      <c r="C76" s="58">
        <v>1</v>
      </c>
      <c r="D76" s="60">
        <f t="shared" si="22"/>
        <v>1</v>
      </c>
      <c r="E76" s="57">
        <f>0</f>
        <v>0</v>
      </c>
      <c r="F76" s="58">
        <f>0</f>
        <v>0</v>
      </c>
      <c r="G76" s="60">
        <f t="shared" si="20"/>
        <v>0</v>
      </c>
      <c r="H76" s="57">
        <f t="shared" si="23"/>
        <v>0</v>
      </c>
      <c r="I76" s="58">
        <f t="shared" si="23"/>
        <v>1</v>
      </c>
      <c r="J76" s="60">
        <f t="shared" si="21"/>
        <v>1</v>
      </c>
    </row>
    <row r="77" spans="1:10" ht="12.75" customHeight="1">
      <c r="A77" s="61" t="s">
        <v>5</v>
      </c>
      <c r="B77" s="62">
        <f>SUM(B68:B76)</f>
        <v>16</v>
      </c>
      <c r="C77" s="63">
        <f aca="true" t="shared" si="24" ref="C77:J77">SUM(C68:C76)</f>
        <v>81</v>
      </c>
      <c r="D77" s="63">
        <f t="shared" si="24"/>
        <v>97</v>
      </c>
      <c r="E77" s="62">
        <f t="shared" si="24"/>
        <v>2</v>
      </c>
      <c r="F77" s="63">
        <f t="shared" si="24"/>
        <v>22</v>
      </c>
      <c r="G77" s="63">
        <f t="shared" si="24"/>
        <v>24</v>
      </c>
      <c r="H77" s="62">
        <f t="shared" si="24"/>
        <v>18</v>
      </c>
      <c r="I77" s="63">
        <f t="shared" si="24"/>
        <v>103</v>
      </c>
      <c r="J77" s="63">
        <f t="shared" si="24"/>
        <v>121</v>
      </c>
    </row>
    <row r="79" spans="1:10" ht="12.75" customHeight="1">
      <c r="A79" s="48" t="s">
        <v>11</v>
      </c>
      <c r="B79" s="49"/>
      <c r="C79" s="49"/>
      <c r="D79" s="49"/>
      <c r="E79" s="49"/>
      <c r="F79" s="49"/>
      <c r="G79" s="49"/>
      <c r="H79" s="49"/>
      <c r="I79" s="49"/>
      <c r="J79" s="49"/>
    </row>
    <row r="80" ht="12.75" customHeight="1" thickBot="1"/>
    <row r="81" spans="1:10" ht="12.75" customHeight="1">
      <c r="A81" s="50"/>
      <c r="B81" s="51" t="s">
        <v>3</v>
      </c>
      <c r="C81" s="52"/>
      <c r="D81" s="52"/>
      <c r="E81" s="51" t="s">
        <v>4</v>
      </c>
      <c r="F81" s="52"/>
      <c r="G81" s="52"/>
      <c r="H81" s="51" t="s">
        <v>5</v>
      </c>
      <c r="I81" s="52"/>
      <c r="J81" s="52"/>
    </row>
    <row r="82" spans="1:10" ht="12.75" customHeight="1">
      <c r="A82" s="121" t="s">
        <v>17</v>
      </c>
      <c r="B82" s="53" t="s">
        <v>6</v>
      </c>
      <c r="C82" s="54" t="s">
        <v>7</v>
      </c>
      <c r="D82" s="54" t="s">
        <v>5</v>
      </c>
      <c r="E82" s="53" t="s">
        <v>6</v>
      </c>
      <c r="F82" s="54" t="s">
        <v>7</v>
      </c>
      <c r="G82" s="54" t="s">
        <v>5</v>
      </c>
      <c r="H82" s="53" t="s">
        <v>6</v>
      </c>
      <c r="I82" s="54" t="s">
        <v>7</v>
      </c>
      <c r="J82" s="54" t="s">
        <v>5</v>
      </c>
    </row>
    <row r="83" spans="1:10" ht="12.75" customHeight="1">
      <c r="A83" s="55"/>
      <c r="B83" s="56"/>
      <c r="C83" s="55"/>
      <c r="D83" s="55"/>
      <c r="E83" s="56"/>
      <c r="F83" s="55"/>
      <c r="G83" s="55"/>
      <c r="H83" s="56"/>
      <c r="I83" s="55"/>
      <c r="J83" s="55"/>
    </row>
    <row r="84" spans="1:10" ht="12.75" customHeight="1">
      <c r="A84" s="43" t="s">
        <v>18</v>
      </c>
      <c r="B84" s="57">
        <f>0</f>
        <v>0</v>
      </c>
      <c r="C84" s="58">
        <f>0</f>
        <v>0</v>
      </c>
      <c r="D84" s="58">
        <f>SUM(B84:C84)</f>
        <v>0</v>
      </c>
      <c r="E84" s="57">
        <v>2</v>
      </c>
      <c r="F84" s="58">
        <v>32</v>
      </c>
      <c r="G84" s="58">
        <f aca="true" t="shared" si="25" ref="G84:G92">SUM(E84:F84)</f>
        <v>34</v>
      </c>
      <c r="H84" s="57">
        <f>SUM(B84,E84)</f>
        <v>2</v>
      </c>
      <c r="I84" s="58">
        <f>SUM(C84,F84)</f>
        <v>32</v>
      </c>
      <c r="J84" s="58">
        <f aca="true" t="shared" si="26" ref="J84:J92">SUM(H84:I84)</f>
        <v>34</v>
      </c>
    </row>
    <row r="85" spans="1:10" ht="12.75" customHeight="1">
      <c r="A85" s="43" t="s">
        <v>19</v>
      </c>
      <c r="B85" s="57">
        <v>3</v>
      </c>
      <c r="C85" s="58">
        <v>39</v>
      </c>
      <c r="D85" s="58">
        <f aca="true" t="shared" si="27" ref="D85:D92">SUM(B85:C85)</f>
        <v>42</v>
      </c>
      <c r="E85" s="57">
        <v>15</v>
      </c>
      <c r="F85" s="58">
        <v>97</v>
      </c>
      <c r="G85" s="58">
        <f t="shared" si="25"/>
        <v>112</v>
      </c>
      <c r="H85" s="57">
        <f aca="true" t="shared" si="28" ref="H85:I92">SUM(B85,E85)</f>
        <v>18</v>
      </c>
      <c r="I85" s="58">
        <f t="shared" si="28"/>
        <v>136</v>
      </c>
      <c r="J85" s="58">
        <f t="shared" si="26"/>
        <v>154</v>
      </c>
    </row>
    <row r="86" spans="1:10" ht="12.75" customHeight="1">
      <c r="A86" s="43" t="s">
        <v>20</v>
      </c>
      <c r="B86" s="57">
        <v>15</v>
      </c>
      <c r="C86" s="58">
        <v>110</v>
      </c>
      <c r="D86" s="58">
        <f t="shared" si="27"/>
        <v>125</v>
      </c>
      <c r="E86" s="57">
        <v>12</v>
      </c>
      <c r="F86" s="58">
        <v>31</v>
      </c>
      <c r="G86" s="58">
        <f t="shared" si="25"/>
        <v>43</v>
      </c>
      <c r="H86" s="57">
        <f t="shared" si="28"/>
        <v>27</v>
      </c>
      <c r="I86" s="58">
        <f t="shared" si="28"/>
        <v>141</v>
      </c>
      <c r="J86" s="58">
        <f t="shared" si="26"/>
        <v>168</v>
      </c>
    </row>
    <row r="87" spans="1:10" ht="12.75" customHeight="1">
      <c r="A87" s="43" t="s">
        <v>21</v>
      </c>
      <c r="B87" s="59">
        <v>11</v>
      </c>
      <c r="C87" s="58">
        <v>91</v>
      </c>
      <c r="D87" s="58">
        <f t="shared" si="27"/>
        <v>102</v>
      </c>
      <c r="E87" s="57">
        <v>7</v>
      </c>
      <c r="F87" s="58">
        <v>7</v>
      </c>
      <c r="G87" s="58">
        <f t="shared" si="25"/>
        <v>14</v>
      </c>
      <c r="H87" s="57">
        <f t="shared" si="28"/>
        <v>18</v>
      </c>
      <c r="I87" s="58">
        <f t="shared" si="28"/>
        <v>98</v>
      </c>
      <c r="J87" s="58">
        <f t="shared" si="26"/>
        <v>116</v>
      </c>
    </row>
    <row r="88" spans="1:10" ht="12.75" customHeight="1">
      <c r="A88" s="43" t="s">
        <v>22</v>
      </c>
      <c r="B88" s="59">
        <v>11</v>
      </c>
      <c r="C88" s="58">
        <v>85</v>
      </c>
      <c r="D88" s="58">
        <f t="shared" si="27"/>
        <v>96</v>
      </c>
      <c r="E88" s="57">
        <v>2</v>
      </c>
      <c r="F88" s="58">
        <v>10</v>
      </c>
      <c r="G88" s="58">
        <f t="shared" si="25"/>
        <v>12</v>
      </c>
      <c r="H88" s="57">
        <f t="shared" si="28"/>
        <v>13</v>
      </c>
      <c r="I88" s="58">
        <f t="shared" si="28"/>
        <v>95</v>
      </c>
      <c r="J88" s="58">
        <f t="shared" si="26"/>
        <v>108</v>
      </c>
    </row>
    <row r="89" spans="1:10" ht="12.75" customHeight="1">
      <c r="A89" s="43" t="s">
        <v>23</v>
      </c>
      <c r="B89" s="59">
        <v>15</v>
      </c>
      <c r="C89" s="58">
        <v>71</v>
      </c>
      <c r="D89" s="58">
        <f t="shared" si="27"/>
        <v>86</v>
      </c>
      <c r="E89" s="57">
        <v>3</v>
      </c>
      <c r="F89" s="58">
        <v>2</v>
      </c>
      <c r="G89" s="58">
        <f t="shared" si="25"/>
        <v>5</v>
      </c>
      <c r="H89" s="57">
        <f t="shared" si="28"/>
        <v>18</v>
      </c>
      <c r="I89" s="58">
        <f t="shared" si="28"/>
        <v>73</v>
      </c>
      <c r="J89" s="58">
        <f t="shared" si="26"/>
        <v>91</v>
      </c>
    </row>
    <row r="90" spans="1:10" ht="12.75" customHeight="1">
      <c r="A90" s="43" t="s">
        <v>24</v>
      </c>
      <c r="B90" s="59">
        <v>26</v>
      </c>
      <c r="C90" s="58">
        <v>87</v>
      </c>
      <c r="D90" s="58">
        <f t="shared" si="27"/>
        <v>113</v>
      </c>
      <c r="E90" s="57">
        <v>2</v>
      </c>
      <c r="F90" s="58">
        <v>2</v>
      </c>
      <c r="G90" s="58">
        <f t="shared" si="25"/>
        <v>4</v>
      </c>
      <c r="H90" s="57">
        <f t="shared" si="28"/>
        <v>28</v>
      </c>
      <c r="I90" s="58">
        <f t="shared" si="28"/>
        <v>89</v>
      </c>
      <c r="J90" s="58">
        <f t="shared" si="26"/>
        <v>117</v>
      </c>
    </row>
    <row r="91" spans="1:10" ht="12.75" customHeight="1">
      <c r="A91" s="43" t="s">
        <v>25</v>
      </c>
      <c r="B91" s="59">
        <v>15</v>
      </c>
      <c r="C91" s="58">
        <v>92</v>
      </c>
      <c r="D91" s="58">
        <f t="shared" si="27"/>
        <v>107</v>
      </c>
      <c r="E91" s="57">
        <f>0</f>
        <v>0</v>
      </c>
      <c r="F91" s="58">
        <v>2</v>
      </c>
      <c r="G91" s="58">
        <f t="shared" si="25"/>
        <v>2</v>
      </c>
      <c r="H91" s="57">
        <f t="shared" si="28"/>
        <v>15</v>
      </c>
      <c r="I91" s="58">
        <f t="shared" si="28"/>
        <v>94</v>
      </c>
      <c r="J91" s="58">
        <f t="shared" si="26"/>
        <v>109</v>
      </c>
    </row>
    <row r="92" spans="1:10" ht="12.75" customHeight="1">
      <c r="A92" s="43" t="s">
        <v>26</v>
      </c>
      <c r="B92" s="59">
        <f>1+2</f>
        <v>3</v>
      </c>
      <c r="C92" s="58">
        <f>15+1</f>
        <v>16</v>
      </c>
      <c r="D92" s="60">
        <f t="shared" si="27"/>
        <v>19</v>
      </c>
      <c r="E92" s="57">
        <f>0</f>
        <v>0</v>
      </c>
      <c r="F92" s="58">
        <v>3</v>
      </c>
      <c r="G92" s="60">
        <f t="shared" si="25"/>
        <v>3</v>
      </c>
      <c r="H92" s="57">
        <f t="shared" si="28"/>
        <v>3</v>
      </c>
      <c r="I92" s="58">
        <f t="shared" si="28"/>
        <v>19</v>
      </c>
      <c r="J92" s="60">
        <f t="shared" si="26"/>
        <v>22</v>
      </c>
    </row>
    <row r="93" spans="1:10" ht="12.75" customHeight="1">
      <c r="A93" s="61" t="s">
        <v>5</v>
      </c>
      <c r="B93" s="62">
        <f>SUM(B84:B92)</f>
        <v>99</v>
      </c>
      <c r="C93" s="63">
        <f aca="true" t="shared" si="29" ref="C93:J93">SUM(C84:C92)</f>
        <v>591</v>
      </c>
      <c r="D93" s="63">
        <f t="shared" si="29"/>
        <v>690</v>
      </c>
      <c r="E93" s="62">
        <f t="shared" si="29"/>
        <v>43</v>
      </c>
      <c r="F93" s="63">
        <f t="shared" si="29"/>
        <v>186</v>
      </c>
      <c r="G93" s="63">
        <f t="shared" si="29"/>
        <v>229</v>
      </c>
      <c r="H93" s="62">
        <f t="shared" si="29"/>
        <v>142</v>
      </c>
      <c r="I93" s="63">
        <f t="shared" si="29"/>
        <v>777</v>
      </c>
      <c r="J93" s="63">
        <f t="shared" si="29"/>
        <v>919</v>
      </c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scale="72" r:id="rId1"/>
  <headerFooter alignWithMargins="0">
    <oddFooter>&amp;R&amp;A</oddFooter>
  </headerFooter>
  <rowBreaks count="1" manualBreakCount="1">
    <brk id="2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zoomScalePageLayoutView="0" workbookViewId="0" topLeftCell="A1">
      <selection activeCell="L33" sqref="L33"/>
    </sheetView>
  </sheetViews>
  <sheetFormatPr defaultColWidth="9.140625" defaultRowHeight="12.75"/>
  <cols>
    <col min="1" max="1" width="33.140625" style="2" customWidth="1"/>
    <col min="2" max="10" width="9.7109375" style="2" customWidth="1"/>
    <col min="11" max="16384" width="9.140625" style="2" customWidth="1"/>
  </cols>
  <sheetData>
    <row r="1" spans="1:4" ht="12.75">
      <c r="A1" s="1" t="s">
        <v>51</v>
      </c>
      <c r="D1" s="2" t="s">
        <v>0</v>
      </c>
    </row>
    <row r="2" spans="1:10" ht="12.75">
      <c r="A2" s="3" t="s">
        <v>14</v>
      </c>
      <c r="B2" s="4"/>
      <c r="C2" s="5"/>
      <c r="D2" s="4"/>
      <c r="E2" s="5"/>
      <c r="F2" s="5"/>
      <c r="G2" s="4"/>
      <c r="H2" s="5"/>
      <c r="I2" s="4"/>
      <c r="J2" s="4"/>
    </row>
    <row r="3" spans="1:10" ht="12.75">
      <c r="A3" s="3"/>
      <c r="B3" s="4"/>
      <c r="C3" s="3"/>
      <c r="D3" s="4"/>
      <c r="E3" s="5"/>
      <c r="F3" s="5"/>
      <c r="G3" s="4"/>
      <c r="H3" s="5"/>
      <c r="I3" s="4"/>
      <c r="J3" s="4"/>
    </row>
    <row r="4" spans="1:10" ht="12.75">
      <c r="A4" s="3" t="s">
        <v>53</v>
      </c>
      <c r="B4" s="4"/>
      <c r="C4" s="3"/>
      <c r="D4" s="4"/>
      <c r="E4" s="5"/>
      <c r="F4" s="5"/>
      <c r="G4" s="4"/>
      <c r="H4" s="5"/>
      <c r="I4" s="4"/>
      <c r="J4" s="4"/>
    </row>
    <row r="5" spans="1:10" ht="12.75">
      <c r="A5" s="3"/>
      <c r="B5" s="4"/>
      <c r="C5" s="3"/>
      <c r="D5" s="4"/>
      <c r="E5" s="5"/>
      <c r="F5" s="5"/>
      <c r="G5" s="4"/>
      <c r="H5" s="5"/>
      <c r="I5" s="4"/>
      <c r="J5" s="4"/>
    </row>
    <row r="6" spans="1:10" ht="12.75">
      <c r="A6" s="3" t="s">
        <v>2</v>
      </c>
      <c r="B6" s="4"/>
      <c r="C6" s="3"/>
      <c r="D6" s="4"/>
      <c r="E6" s="4"/>
      <c r="F6" s="4"/>
      <c r="G6" s="4"/>
      <c r="H6" s="4"/>
      <c r="I6" s="4"/>
      <c r="J6" s="4"/>
    </row>
    <row r="7" ht="14.25" customHeight="1" thickBot="1"/>
    <row r="8" spans="1:10" ht="12.75">
      <c r="A8" s="6"/>
      <c r="B8" s="7"/>
      <c r="C8" s="8" t="s">
        <v>3</v>
      </c>
      <c r="D8" s="9"/>
      <c r="E8" s="7"/>
      <c r="F8" s="8" t="s">
        <v>4</v>
      </c>
      <c r="G8" s="9"/>
      <c r="H8" s="7"/>
      <c r="I8" s="8" t="s">
        <v>5</v>
      </c>
      <c r="J8" s="9"/>
    </row>
    <row r="9" spans="1:10" ht="12.75">
      <c r="A9" s="14"/>
      <c r="B9" s="105" t="s">
        <v>6</v>
      </c>
      <c r="C9" s="106" t="s">
        <v>7</v>
      </c>
      <c r="D9" s="106" t="s">
        <v>5</v>
      </c>
      <c r="E9" s="105" t="s">
        <v>6</v>
      </c>
      <c r="F9" s="106" t="s">
        <v>7</v>
      </c>
      <c r="G9" s="106" t="s">
        <v>5</v>
      </c>
      <c r="H9" s="105" t="s">
        <v>6</v>
      </c>
      <c r="I9" s="106" t="s">
        <v>7</v>
      </c>
      <c r="J9" s="106" t="s">
        <v>5</v>
      </c>
    </row>
    <row r="10" spans="1:10" ht="12.75">
      <c r="A10" s="112" t="s">
        <v>36</v>
      </c>
      <c r="B10" s="10"/>
      <c r="C10" s="11"/>
      <c r="D10" s="11"/>
      <c r="E10" s="10"/>
      <c r="F10" s="11"/>
      <c r="G10" s="11"/>
      <c r="H10" s="10"/>
      <c r="I10" s="11"/>
      <c r="J10" s="11"/>
    </row>
    <row r="11" spans="1:8" ht="12.75">
      <c r="A11" s="1" t="s">
        <v>30</v>
      </c>
      <c r="B11" s="12"/>
      <c r="E11" s="12"/>
      <c r="H11" s="12"/>
    </row>
    <row r="12" spans="1:10" ht="12.75">
      <c r="A12" s="2" t="s">
        <v>38</v>
      </c>
      <c r="B12" s="15">
        <v>3</v>
      </c>
      <c r="C12" s="16">
        <v>152</v>
      </c>
      <c r="D12" s="16">
        <f>SUM(B12:C12)</f>
        <v>155</v>
      </c>
      <c r="E12" s="17">
        <v>7</v>
      </c>
      <c r="F12" s="16">
        <v>95</v>
      </c>
      <c r="G12" s="16">
        <f>SUM(E12:F12)</f>
        <v>102</v>
      </c>
      <c r="H12" s="17">
        <f aca="true" t="shared" si="0" ref="H12:I15">SUM(B12,E12)</f>
        <v>10</v>
      </c>
      <c r="I12" s="16">
        <f t="shared" si="0"/>
        <v>247</v>
      </c>
      <c r="J12" s="16">
        <f>SUM(H12:I12)</f>
        <v>257</v>
      </c>
    </row>
    <row r="13" spans="1:10" ht="12.75">
      <c r="A13" s="2" t="s">
        <v>39</v>
      </c>
      <c r="B13" s="15">
        <v>4</v>
      </c>
      <c r="C13" s="16">
        <v>761</v>
      </c>
      <c r="D13" s="16">
        <f>SUM(B13:C13)</f>
        <v>765</v>
      </c>
      <c r="E13" s="17">
        <v>7</v>
      </c>
      <c r="F13" s="16">
        <v>271</v>
      </c>
      <c r="G13" s="16">
        <f>SUM(E13:F13)</f>
        <v>278</v>
      </c>
      <c r="H13" s="17">
        <f t="shared" si="0"/>
        <v>11</v>
      </c>
      <c r="I13" s="16">
        <f t="shared" si="0"/>
        <v>1032</v>
      </c>
      <c r="J13" s="16">
        <f>SUM(H13:I13)</f>
        <v>1043</v>
      </c>
    </row>
    <row r="14" spans="1:10" ht="12.75">
      <c r="A14" s="2" t="s">
        <v>40</v>
      </c>
      <c r="B14" s="15">
        <f>0</f>
        <v>0</v>
      </c>
      <c r="C14" s="18">
        <v>1</v>
      </c>
      <c r="D14" s="16">
        <f>SUM(B14:C14)</f>
        <v>1</v>
      </c>
      <c r="E14" s="15">
        <f>0</f>
        <v>0</v>
      </c>
      <c r="F14" s="16">
        <v>1</v>
      </c>
      <c r="G14" s="16">
        <f>SUM(E14:F14)</f>
        <v>1</v>
      </c>
      <c r="H14" s="17">
        <f t="shared" si="0"/>
        <v>0</v>
      </c>
      <c r="I14" s="16">
        <f t="shared" si="0"/>
        <v>2</v>
      </c>
      <c r="J14" s="16">
        <f>SUM(H14:I14)</f>
        <v>2</v>
      </c>
    </row>
    <row r="15" spans="1:10" ht="12.75">
      <c r="A15" s="2" t="s">
        <v>41</v>
      </c>
      <c r="B15" s="17">
        <v>4</v>
      </c>
      <c r="C15" s="16">
        <v>295</v>
      </c>
      <c r="D15" s="16">
        <f>SUM(B15:C15)</f>
        <v>299</v>
      </c>
      <c r="E15" s="17">
        <v>9</v>
      </c>
      <c r="F15" s="16">
        <v>95</v>
      </c>
      <c r="G15" s="16">
        <f>SUM(E15:F15)</f>
        <v>104</v>
      </c>
      <c r="H15" s="17">
        <f t="shared" si="0"/>
        <v>13</v>
      </c>
      <c r="I15" s="16">
        <f t="shared" si="0"/>
        <v>390</v>
      </c>
      <c r="J15" s="16">
        <f>SUM(H15:I15)</f>
        <v>403</v>
      </c>
    </row>
    <row r="16" spans="1:10" s="1" customFormat="1" ht="12.75">
      <c r="A16" s="13" t="s">
        <v>5</v>
      </c>
      <c r="B16" s="19">
        <f>SUM(B12:B15)</f>
        <v>11</v>
      </c>
      <c r="C16" s="20">
        <f aca="true" t="shared" si="1" ref="C16:J16">SUM(C12:C15)</f>
        <v>1209</v>
      </c>
      <c r="D16" s="20">
        <f t="shared" si="1"/>
        <v>1220</v>
      </c>
      <c r="E16" s="19">
        <f t="shared" si="1"/>
        <v>23</v>
      </c>
      <c r="F16" s="20">
        <f t="shared" si="1"/>
        <v>462</v>
      </c>
      <c r="G16" s="20">
        <f t="shared" si="1"/>
        <v>485</v>
      </c>
      <c r="H16" s="19">
        <f t="shared" si="1"/>
        <v>34</v>
      </c>
      <c r="I16" s="20">
        <f t="shared" si="1"/>
        <v>1671</v>
      </c>
      <c r="J16" s="20">
        <f t="shared" si="1"/>
        <v>1705</v>
      </c>
    </row>
    <row r="17" spans="2:10" ht="12.75">
      <c r="B17" s="17"/>
      <c r="C17" s="16"/>
      <c r="D17" s="16"/>
      <c r="E17" s="17"/>
      <c r="F17" s="16"/>
      <c r="G17" s="16"/>
      <c r="H17" s="17"/>
      <c r="I17" s="16"/>
      <c r="J17" s="16"/>
    </row>
    <row r="18" spans="1:10" ht="12.75">
      <c r="A18" s="1" t="s">
        <v>31</v>
      </c>
      <c r="B18" s="17"/>
      <c r="C18" s="16"/>
      <c r="D18" s="16"/>
      <c r="E18" s="17"/>
      <c r="F18" s="16"/>
      <c r="G18" s="16"/>
      <c r="H18" s="17"/>
      <c r="I18" s="16"/>
      <c r="J18" s="16"/>
    </row>
    <row r="19" spans="1:10" ht="12.75">
      <c r="A19" s="2" t="s">
        <v>38</v>
      </c>
      <c r="B19" s="15">
        <f>0</f>
        <v>0</v>
      </c>
      <c r="C19" s="16">
        <v>3</v>
      </c>
      <c r="D19" s="16">
        <f>SUM(B19:C19)</f>
        <v>3</v>
      </c>
      <c r="E19" s="17">
        <f>0</f>
        <v>0</v>
      </c>
      <c r="F19" s="16">
        <v>3</v>
      </c>
      <c r="G19" s="16">
        <f>SUM(E19:F19)</f>
        <v>3</v>
      </c>
      <c r="H19" s="17">
        <f aca="true" t="shared" si="2" ref="H19:I22">SUM(B19,E19)</f>
        <v>0</v>
      </c>
      <c r="I19" s="16">
        <f t="shared" si="2"/>
        <v>6</v>
      </c>
      <c r="J19" s="16">
        <f>SUM(H19:I19)</f>
        <v>6</v>
      </c>
    </row>
    <row r="20" spans="1:10" ht="12.75">
      <c r="A20" s="2" t="s">
        <v>39</v>
      </c>
      <c r="B20" s="15">
        <f>0</f>
        <v>0</v>
      </c>
      <c r="C20" s="18">
        <v>10</v>
      </c>
      <c r="D20" s="16">
        <f>SUM(B20:C20)</f>
        <v>10</v>
      </c>
      <c r="E20" s="17">
        <f>0</f>
        <v>0</v>
      </c>
      <c r="F20" s="16">
        <v>6</v>
      </c>
      <c r="G20" s="16">
        <f>SUM(E20:F20)</f>
        <v>6</v>
      </c>
      <c r="H20" s="17">
        <f t="shared" si="2"/>
        <v>0</v>
      </c>
      <c r="I20" s="16">
        <f t="shared" si="2"/>
        <v>16</v>
      </c>
      <c r="J20" s="16">
        <f>SUM(H20:I20)</f>
        <v>16</v>
      </c>
    </row>
    <row r="21" spans="1:10" ht="12.75">
      <c r="A21" s="2" t="s">
        <v>40</v>
      </c>
      <c r="B21" s="15">
        <f>0</f>
        <v>0</v>
      </c>
      <c r="C21" s="21">
        <f>0</f>
        <v>0</v>
      </c>
      <c r="D21" s="16">
        <f>SUM(B21:C21)</f>
        <v>0</v>
      </c>
      <c r="E21" s="17">
        <f>0</f>
        <v>0</v>
      </c>
      <c r="F21" s="21">
        <f>0</f>
        <v>0</v>
      </c>
      <c r="G21" s="16">
        <f>SUM(E21:F21)</f>
        <v>0</v>
      </c>
      <c r="H21" s="17">
        <f t="shared" si="2"/>
        <v>0</v>
      </c>
      <c r="I21" s="16">
        <f t="shared" si="2"/>
        <v>0</v>
      </c>
      <c r="J21" s="16">
        <f>SUM(H21:I21)</f>
        <v>0</v>
      </c>
    </row>
    <row r="22" spans="1:10" ht="12.75">
      <c r="A22" s="2" t="s">
        <v>41</v>
      </c>
      <c r="B22" s="15">
        <f>0</f>
        <v>0</v>
      </c>
      <c r="C22" s="18">
        <f>0</f>
        <v>0</v>
      </c>
      <c r="D22" s="16">
        <f>SUM(B22:C22)</f>
        <v>0</v>
      </c>
      <c r="E22" s="17">
        <f>0</f>
        <v>0</v>
      </c>
      <c r="F22" s="16">
        <f>0</f>
        <v>0</v>
      </c>
      <c r="G22" s="16">
        <f>SUM(E22:F22)</f>
        <v>0</v>
      </c>
      <c r="H22" s="17">
        <f t="shared" si="2"/>
        <v>0</v>
      </c>
      <c r="I22" s="16">
        <f t="shared" si="2"/>
        <v>0</v>
      </c>
      <c r="J22" s="16">
        <f>SUM(H22:I22)</f>
        <v>0</v>
      </c>
    </row>
    <row r="23" spans="1:10" s="1" customFormat="1" ht="12.75">
      <c r="A23" s="13" t="s">
        <v>5</v>
      </c>
      <c r="B23" s="22">
        <f aca="true" t="shared" si="3" ref="B23:J23">SUM(B19:B22)</f>
        <v>0</v>
      </c>
      <c r="C23" s="20">
        <f t="shared" si="3"/>
        <v>13</v>
      </c>
      <c r="D23" s="20">
        <f t="shared" si="3"/>
        <v>13</v>
      </c>
      <c r="E23" s="19">
        <f t="shared" si="3"/>
        <v>0</v>
      </c>
      <c r="F23" s="20">
        <f t="shared" si="3"/>
        <v>9</v>
      </c>
      <c r="G23" s="20">
        <f t="shared" si="3"/>
        <v>9</v>
      </c>
      <c r="H23" s="19">
        <f t="shared" si="3"/>
        <v>0</v>
      </c>
      <c r="I23" s="20">
        <f t="shared" si="3"/>
        <v>22</v>
      </c>
      <c r="J23" s="20">
        <f t="shared" si="3"/>
        <v>22</v>
      </c>
    </row>
    <row r="24" spans="2:10" ht="12.75">
      <c r="B24" s="17"/>
      <c r="C24" s="16"/>
      <c r="D24" s="16"/>
      <c r="E24" s="17"/>
      <c r="F24" s="16"/>
      <c r="G24" s="16"/>
      <c r="H24" s="17"/>
      <c r="I24" s="16"/>
      <c r="J24" s="16"/>
    </row>
    <row r="25" spans="1:10" ht="12.75">
      <c r="A25" s="114" t="s">
        <v>32</v>
      </c>
      <c r="B25" s="17"/>
      <c r="C25" s="109"/>
      <c r="D25" s="109"/>
      <c r="E25" s="17"/>
      <c r="F25" s="109"/>
      <c r="G25" s="109"/>
      <c r="H25" s="17"/>
      <c r="I25" s="109"/>
      <c r="J25" s="109"/>
    </row>
    <row r="26" spans="1:10" ht="12.75">
      <c r="A26" s="2" t="s">
        <v>38</v>
      </c>
      <c r="B26" s="17">
        <f aca="true" t="shared" si="4" ref="B26:C29">SUM(B12,B19)</f>
        <v>3</v>
      </c>
      <c r="C26" s="16">
        <f t="shared" si="4"/>
        <v>155</v>
      </c>
      <c r="D26" s="16">
        <f>SUM(B26:C26)</f>
        <v>158</v>
      </c>
      <c r="E26" s="17">
        <f aca="true" t="shared" si="5" ref="E26:F29">SUM(E12,E19)</f>
        <v>7</v>
      </c>
      <c r="F26" s="16">
        <f t="shared" si="5"/>
        <v>98</v>
      </c>
      <c r="G26" s="16">
        <f>SUM(E26:F26)</f>
        <v>105</v>
      </c>
      <c r="H26" s="17">
        <f aca="true" t="shared" si="6" ref="H26:I29">SUM(B26,E26)</f>
        <v>10</v>
      </c>
      <c r="I26" s="16">
        <f t="shared" si="6"/>
        <v>253</v>
      </c>
      <c r="J26" s="16">
        <f>SUM(H26:I26)</f>
        <v>263</v>
      </c>
    </row>
    <row r="27" spans="1:10" ht="12.75">
      <c r="A27" s="2" t="s">
        <v>39</v>
      </c>
      <c r="B27" s="17">
        <f t="shared" si="4"/>
        <v>4</v>
      </c>
      <c r="C27" s="16">
        <f t="shared" si="4"/>
        <v>771</v>
      </c>
      <c r="D27" s="16">
        <f>SUM(B27:C27)</f>
        <v>775</v>
      </c>
      <c r="E27" s="17">
        <f t="shared" si="5"/>
        <v>7</v>
      </c>
      <c r="F27" s="16">
        <f t="shared" si="5"/>
        <v>277</v>
      </c>
      <c r="G27" s="16">
        <f>SUM(E27:F27)</f>
        <v>284</v>
      </c>
      <c r="H27" s="17">
        <f t="shared" si="6"/>
        <v>11</v>
      </c>
      <c r="I27" s="16">
        <f t="shared" si="6"/>
        <v>1048</v>
      </c>
      <c r="J27" s="16">
        <f>SUM(H27:I27)</f>
        <v>1059</v>
      </c>
    </row>
    <row r="28" spans="1:10" ht="12.75">
      <c r="A28" s="2" t="s">
        <v>40</v>
      </c>
      <c r="B28" s="17">
        <f t="shared" si="4"/>
        <v>0</v>
      </c>
      <c r="C28" s="16">
        <f t="shared" si="4"/>
        <v>1</v>
      </c>
      <c r="D28" s="16">
        <f>SUM(B28:C28)</f>
        <v>1</v>
      </c>
      <c r="E28" s="17">
        <f t="shared" si="5"/>
        <v>0</v>
      </c>
      <c r="F28" s="16">
        <f t="shared" si="5"/>
        <v>1</v>
      </c>
      <c r="G28" s="16">
        <f>SUM(E28:F28)</f>
        <v>1</v>
      </c>
      <c r="H28" s="17">
        <f t="shared" si="6"/>
        <v>0</v>
      </c>
      <c r="I28" s="16">
        <f t="shared" si="6"/>
        <v>2</v>
      </c>
      <c r="J28" s="16">
        <f>SUM(H28:I28)</f>
        <v>2</v>
      </c>
    </row>
    <row r="29" spans="1:10" ht="12.75">
      <c r="A29" s="2" t="s">
        <v>41</v>
      </c>
      <c r="B29" s="17">
        <f t="shared" si="4"/>
        <v>4</v>
      </c>
      <c r="C29" s="16">
        <f t="shared" si="4"/>
        <v>295</v>
      </c>
      <c r="D29" s="16">
        <f>SUM(B29:C29)</f>
        <v>299</v>
      </c>
      <c r="E29" s="17">
        <f t="shared" si="5"/>
        <v>9</v>
      </c>
      <c r="F29" s="16">
        <f t="shared" si="5"/>
        <v>95</v>
      </c>
      <c r="G29" s="16">
        <f>SUM(E29:F29)</f>
        <v>104</v>
      </c>
      <c r="H29" s="17">
        <f t="shared" si="6"/>
        <v>13</v>
      </c>
      <c r="I29" s="16">
        <f t="shared" si="6"/>
        <v>390</v>
      </c>
      <c r="J29" s="16">
        <f>SUM(H29:I29)</f>
        <v>403</v>
      </c>
    </row>
    <row r="30" spans="1:10" s="1" customFormat="1" ht="12.75">
      <c r="A30" s="13" t="s">
        <v>5</v>
      </c>
      <c r="B30" s="19">
        <f aca="true" t="shared" si="7" ref="B30:J30">SUM(B26:B29)</f>
        <v>11</v>
      </c>
      <c r="C30" s="20">
        <f t="shared" si="7"/>
        <v>1222</v>
      </c>
      <c r="D30" s="20">
        <f>SUM(B30:C30)</f>
        <v>1233</v>
      </c>
      <c r="E30" s="19">
        <f t="shared" si="7"/>
        <v>23</v>
      </c>
      <c r="F30" s="20">
        <f t="shared" si="7"/>
        <v>471</v>
      </c>
      <c r="G30" s="20">
        <f>SUM(E30:F30)</f>
        <v>494</v>
      </c>
      <c r="H30" s="19">
        <f t="shared" si="7"/>
        <v>34</v>
      </c>
      <c r="I30" s="20">
        <f t="shared" si="7"/>
        <v>1693</v>
      </c>
      <c r="J30" s="20">
        <f t="shared" si="7"/>
        <v>1727</v>
      </c>
    </row>
    <row r="31" spans="2:10" s="119" customFormat="1" ht="12.75">
      <c r="B31" s="17"/>
      <c r="C31" s="109"/>
      <c r="D31" s="109"/>
      <c r="E31" s="17"/>
      <c r="F31" s="109"/>
      <c r="G31" s="109"/>
      <c r="H31" s="17"/>
      <c r="I31" s="109"/>
      <c r="J31" s="109"/>
    </row>
    <row r="32" spans="1:10" ht="12.75">
      <c r="A32" s="113" t="s">
        <v>37</v>
      </c>
      <c r="B32" s="17"/>
      <c r="C32" s="109"/>
      <c r="D32" s="109"/>
      <c r="E32" s="17"/>
      <c r="F32" s="109"/>
      <c r="G32" s="109"/>
      <c r="H32" s="17"/>
      <c r="I32" s="109"/>
      <c r="J32" s="109"/>
    </row>
    <row r="33" spans="1:8" ht="12.75">
      <c r="A33" s="1" t="s">
        <v>33</v>
      </c>
      <c r="B33" s="12"/>
      <c r="E33" s="12"/>
      <c r="H33" s="12"/>
    </row>
    <row r="34" spans="1:10" ht="12.75">
      <c r="A34" s="2" t="s">
        <v>38</v>
      </c>
      <c r="B34" s="15">
        <v>78</v>
      </c>
      <c r="C34" s="16">
        <v>417</v>
      </c>
      <c r="D34" s="16">
        <f>SUM(B34:C34)</f>
        <v>495</v>
      </c>
      <c r="E34" s="17">
        <v>99</v>
      </c>
      <c r="F34" s="16">
        <v>319</v>
      </c>
      <c r="G34" s="16">
        <f>SUM(E34:F34)</f>
        <v>418</v>
      </c>
      <c r="H34" s="17">
        <f aca="true" t="shared" si="8" ref="H34:I37">SUM(B34,E34)</f>
        <v>177</v>
      </c>
      <c r="I34" s="16">
        <f t="shared" si="8"/>
        <v>736</v>
      </c>
      <c r="J34" s="16">
        <f>SUM(H34:I34)</f>
        <v>913</v>
      </c>
    </row>
    <row r="35" spans="1:10" ht="12.75">
      <c r="A35" s="2" t="s">
        <v>39</v>
      </c>
      <c r="B35" s="15">
        <v>165</v>
      </c>
      <c r="C35" s="16">
        <v>1566</v>
      </c>
      <c r="D35" s="16">
        <f>SUM(B35:C35)</f>
        <v>1731</v>
      </c>
      <c r="E35" s="17">
        <v>152</v>
      </c>
      <c r="F35" s="16">
        <v>641</v>
      </c>
      <c r="G35" s="16">
        <f>SUM(E35:F35)</f>
        <v>793</v>
      </c>
      <c r="H35" s="17">
        <f t="shared" si="8"/>
        <v>317</v>
      </c>
      <c r="I35" s="16">
        <f t="shared" si="8"/>
        <v>2207</v>
      </c>
      <c r="J35" s="16">
        <f>SUM(H35:I35)</f>
        <v>2524</v>
      </c>
    </row>
    <row r="36" spans="1:10" ht="12.75">
      <c r="A36" s="2" t="s">
        <v>40</v>
      </c>
      <c r="B36" s="15">
        <f>0</f>
        <v>0</v>
      </c>
      <c r="C36" s="18">
        <v>2</v>
      </c>
      <c r="D36" s="16">
        <f>SUM(B36:C36)</f>
        <v>2</v>
      </c>
      <c r="E36" s="15">
        <f>0</f>
        <v>0</v>
      </c>
      <c r="F36" s="16">
        <f>0</f>
        <v>0</v>
      </c>
      <c r="G36" s="16">
        <f>SUM(E36:F36)</f>
        <v>0</v>
      </c>
      <c r="H36" s="17">
        <f t="shared" si="8"/>
        <v>0</v>
      </c>
      <c r="I36" s="16">
        <f t="shared" si="8"/>
        <v>2</v>
      </c>
      <c r="J36" s="16">
        <f>SUM(H36:I36)</f>
        <v>2</v>
      </c>
    </row>
    <row r="37" spans="1:10" ht="12.75">
      <c r="A37" s="2" t="s">
        <v>41</v>
      </c>
      <c r="B37" s="17">
        <v>83</v>
      </c>
      <c r="C37" s="16">
        <v>627</v>
      </c>
      <c r="D37" s="16">
        <f>SUM(B37:C37)</f>
        <v>710</v>
      </c>
      <c r="E37" s="17">
        <v>76</v>
      </c>
      <c r="F37" s="16">
        <v>280</v>
      </c>
      <c r="G37" s="16">
        <f>SUM(E37:F37)</f>
        <v>356</v>
      </c>
      <c r="H37" s="17">
        <f t="shared" si="8"/>
        <v>159</v>
      </c>
      <c r="I37" s="16">
        <f t="shared" si="8"/>
        <v>907</v>
      </c>
      <c r="J37" s="16">
        <f>SUM(H37:I37)</f>
        <v>1066</v>
      </c>
    </row>
    <row r="38" spans="1:10" s="1" customFormat="1" ht="12.75">
      <c r="A38" s="13" t="s">
        <v>5</v>
      </c>
      <c r="B38" s="19">
        <f>SUM(B34:B37)</f>
        <v>326</v>
      </c>
      <c r="C38" s="20">
        <f aca="true" t="shared" si="9" ref="C38:J38">SUM(C34:C37)</f>
        <v>2612</v>
      </c>
      <c r="D38" s="20">
        <f t="shared" si="9"/>
        <v>2938</v>
      </c>
      <c r="E38" s="19">
        <f t="shared" si="9"/>
        <v>327</v>
      </c>
      <c r="F38" s="20">
        <f t="shared" si="9"/>
        <v>1240</v>
      </c>
      <c r="G38" s="20">
        <f t="shared" si="9"/>
        <v>1567</v>
      </c>
      <c r="H38" s="19">
        <f t="shared" si="9"/>
        <v>653</v>
      </c>
      <c r="I38" s="20">
        <f t="shared" si="9"/>
        <v>3852</v>
      </c>
      <c r="J38" s="20">
        <f t="shared" si="9"/>
        <v>4505</v>
      </c>
    </row>
    <row r="39" spans="2:10" ht="12.75">
      <c r="B39" s="17"/>
      <c r="C39" s="16"/>
      <c r="D39" s="16"/>
      <c r="E39" s="17"/>
      <c r="F39" s="16"/>
      <c r="G39" s="16"/>
      <c r="H39" s="17"/>
      <c r="I39" s="16"/>
      <c r="J39" s="16"/>
    </row>
    <row r="40" spans="1:10" ht="12.75">
      <c r="A40" s="1" t="s">
        <v>34</v>
      </c>
      <c r="B40" s="17"/>
      <c r="C40" s="16"/>
      <c r="D40" s="16"/>
      <c r="E40" s="17"/>
      <c r="F40" s="16"/>
      <c r="G40" s="16"/>
      <c r="H40" s="17"/>
      <c r="I40" s="16"/>
      <c r="J40" s="16"/>
    </row>
    <row r="41" spans="1:10" ht="12.75">
      <c r="A41" s="2" t="s">
        <v>38</v>
      </c>
      <c r="B41" s="15">
        <v>60</v>
      </c>
      <c r="C41" s="16">
        <v>496</v>
      </c>
      <c r="D41" s="16">
        <f>SUM(B41:C41)</f>
        <v>556</v>
      </c>
      <c r="E41" s="17">
        <v>18</v>
      </c>
      <c r="F41" s="16">
        <v>270</v>
      </c>
      <c r="G41" s="16">
        <f>SUM(E41:F41)</f>
        <v>288</v>
      </c>
      <c r="H41" s="17">
        <f aca="true" t="shared" si="10" ref="H41:I44">SUM(B41,E41)</f>
        <v>78</v>
      </c>
      <c r="I41" s="16">
        <f t="shared" si="10"/>
        <v>766</v>
      </c>
      <c r="J41" s="16">
        <f>SUM(H41:I41)</f>
        <v>844</v>
      </c>
    </row>
    <row r="42" spans="1:10" ht="12.75">
      <c r="A42" s="2" t="s">
        <v>39</v>
      </c>
      <c r="B42" s="15">
        <v>84</v>
      </c>
      <c r="C42" s="18">
        <v>979</v>
      </c>
      <c r="D42" s="16">
        <f>SUM(B42:C42)</f>
        <v>1063</v>
      </c>
      <c r="E42" s="17">
        <v>19</v>
      </c>
      <c r="F42" s="16">
        <v>440</v>
      </c>
      <c r="G42" s="16">
        <f>SUM(E42:F42)</f>
        <v>459</v>
      </c>
      <c r="H42" s="17">
        <f t="shared" si="10"/>
        <v>103</v>
      </c>
      <c r="I42" s="16">
        <f t="shared" si="10"/>
        <v>1419</v>
      </c>
      <c r="J42" s="16">
        <f>SUM(H42:I42)</f>
        <v>1522</v>
      </c>
    </row>
    <row r="43" spans="1:10" ht="12.75">
      <c r="A43" s="2" t="s">
        <v>40</v>
      </c>
      <c r="B43" s="15">
        <f>0</f>
        <v>0</v>
      </c>
      <c r="C43" s="21">
        <v>24</v>
      </c>
      <c r="D43" s="16">
        <f>SUM(B43:C43)</f>
        <v>24</v>
      </c>
      <c r="E43" s="17">
        <v>1</v>
      </c>
      <c r="F43" s="21">
        <v>8</v>
      </c>
      <c r="G43" s="16">
        <f>SUM(E43:F43)</f>
        <v>9</v>
      </c>
      <c r="H43" s="17">
        <f t="shared" si="10"/>
        <v>1</v>
      </c>
      <c r="I43" s="16">
        <f t="shared" si="10"/>
        <v>32</v>
      </c>
      <c r="J43" s="16">
        <f>SUM(H43:I43)</f>
        <v>33</v>
      </c>
    </row>
    <row r="44" spans="1:10" ht="12.75">
      <c r="A44" s="2" t="s">
        <v>41</v>
      </c>
      <c r="B44" s="15">
        <v>14</v>
      </c>
      <c r="C44" s="18">
        <v>220</v>
      </c>
      <c r="D44" s="16">
        <f>SUM(B44:C44)</f>
        <v>234</v>
      </c>
      <c r="E44" s="17">
        <v>3</v>
      </c>
      <c r="F44" s="16">
        <v>115</v>
      </c>
      <c r="G44" s="16">
        <f>SUM(E44:F44)</f>
        <v>118</v>
      </c>
      <c r="H44" s="17">
        <f t="shared" si="10"/>
        <v>17</v>
      </c>
      <c r="I44" s="16">
        <f t="shared" si="10"/>
        <v>335</v>
      </c>
      <c r="J44" s="16">
        <f>SUM(H44:I44)</f>
        <v>352</v>
      </c>
    </row>
    <row r="45" spans="1:10" s="1" customFormat="1" ht="12.75">
      <c r="A45" s="13" t="s">
        <v>5</v>
      </c>
      <c r="B45" s="22">
        <f aca="true" t="shared" si="11" ref="B45:J45">SUM(B41:B44)</f>
        <v>158</v>
      </c>
      <c r="C45" s="20">
        <f t="shared" si="11"/>
        <v>1719</v>
      </c>
      <c r="D45" s="20">
        <f t="shared" si="11"/>
        <v>1877</v>
      </c>
      <c r="E45" s="19">
        <f t="shared" si="11"/>
        <v>41</v>
      </c>
      <c r="F45" s="20">
        <f t="shared" si="11"/>
        <v>833</v>
      </c>
      <c r="G45" s="20">
        <f t="shared" si="11"/>
        <v>874</v>
      </c>
      <c r="H45" s="19">
        <f t="shared" si="11"/>
        <v>199</v>
      </c>
      <c r="I45" s="20">
        <f t="shared" si="11"/>
        <v>2552</v>
      </c>
      <c r="J45" s="20">
        <f t="shared" si="11"/>
        <v>2751</v>
      </c>
    </row>
    <row r="46" spans="2:10" ht="12.75">
      <c r="B46" s="17"/>
      <c r="C46" s="16"/>
      <c r="D46" s="16"/>
      <c r="E46" s="17"/>
      <c r="F46" s="16"/>
      <c r="G46" s="16"/>
      <c r="H46" s="17"/>
      <c r="I46" s="16"/>
      <c r="J46" s="16"/>
    </row>
    <row r="47" spans="1:10" ht="12.75">
      <c r="A47" s="114" t="s">
        <v>35</v>
      </c>
      <c r="B47" s="17"/>
      <c r="C47" s="109"/>
      <c r="D47" s="109"/>
      <c r="E47" s="17"/>
      <c r="F47" s="109"/>
      <c r="G47" s="109"/>
      <c r="H47" s="17"/>
      <c r="I47" s="109"/>
      <c r="J47" s="109"/>
    </row>
    <row r="48" spans="1:10" ht="12.75">
      <c r="A48" s="2" t="s">
        <v>38</v>
      </c>
      <c r="B48" s="17">
        <f aca="true" t="shared" si="12" ref="B48:C51">SUM(B34,B41)</f>
        <v>138</v>
      </c>
      <c r="C48" s="16">
        <f t="shared" si="12"/>
        <v>913</v>
      </c>
      <c r="D48" s="16">
        <f>SUM(B48:C48)</f>
        <v>1051</v>
      </c>
      <c r="E48" s="17">
        <f aca="true" t="shared" si="13" ref="E48:F51">SUM(E34,E41)</f>
        <v>117</v>
      </c>
      <c r="F48" s="16">
        <f t="shared" si="13"/>
        <v>589</v>
      </c>
      <c r="G48" s="16">
        <f>SUM(E48:F48)</f>
        <v>706</v>
      </c>
      <c r="H48" s="17">
        <f aca="true" t="shared" si="14" ref="H48:I51">SUM(B48,E48)</f>
        <v>255</v>
      </c>
      <c r="I48" s="16">
        <f t="shared" si="14"/>
        <v>1502</v>
      </c>
      <c r="J48" s="16">
        <f>SUM(H48:I48)</f>
        <v>1757</v>
      </c>
    </row>
    <row r="49" spans="1:10" ht="12.75">
      <c r="A49" s="2" t="s">
        <v>39</v>
      </c>
      <c r="B49" s="17">
        <f t="shared" si="12"/>
        <v>249</v>
      </c>
      <c r="C49" s="16">
        <f t="shared" si="12"/>
        <v>2545</v>
      </c>
      <c r="D49" s="16">
        <f>SUM(B49:C49)</f>
        <v>2794</v>
      </c>
      <c r="E49" s="17">
        <f t="shared" si="13"/>
        <v>171</v>
      </c>
      <c r="F49" s="16">
        <f t="shared" si="13"/>
        <v>1081</v>
      </c>
      <c r="G49" s="16">
        <f>SUM(E49:F49)</f>
        <v>1252</v>
      </c>
      <c r="H49" s="17">
        <f t="shared" si="14"/>
        <v>420</v>
      </c>
      <c r="I49" s="16">
        <f t="shared" si="14"/>
        <v>3626</v>
      </c>
      <c r="J49" s="16">
        <f>SUM(H49:I49)</f>
        <v>4046</v>
      </c>
    </row>
    <row r="50" spans="1:10" ht="12.75">
      <c r="A50" s="2" t="s">
        <v>40</v>
      </c>
      <c r="B50" s="17">
        <f t="shared" si="12"/>
        <v>0</v>
      </c>
      <c r="C50" s="16">
        <f t="shared" si="12"/>
        <v>26</v>
      </c>
      <c r="D50" s="16">
        <f>SUM(B50:C50)</f>
        <v>26</v>
      </c>
      <c r="E50" s="17">
        <f t="shared" si="13"/>
        <v>1</v>
      </c>
      <c r="F50" s="16">
        <f t="shared" si="13"/>
        <v>8</v>
      </c>
      <c r="G50" s="16">
        <f>SUM(E50:F50)</f>
        <v>9</v>
      </c>
      <c r="H50" s="17">
        <f t="shared" si="14"/>
        <v>1</v>
      </c>
      <c r="I50" s="16">
        <f t="shared" si="14"/>
        <v>34</v>
      </c>
      <c r="J50" s="16">
        <f>SUM(H50:I50)</f>
        <v>35</v>
      </c>
    </row>
    <row r="51" spans="1:10" ht="12.75">
      <c r="A51" s="2" t="s">
        <v>41</v>
      </c>
      <c r="B51" s="17">
        <f t="shared" si="12"/>
        <v>97</v>
      </c>
      <c r="C51" s="16">
        <f t="shared" si="12"/>
        <v>847</v>
      </c>
      <c r="D51" s="16">
        <f>SUM(B51:C51)</f>
        <v>944</v>
      </c>
      <c r="E51" s="17">
        <f t="shared" si="13"/>
        <v>79</v>
      </c>
      <c r="F51" s="16">
        <f t="shared" si="13"/>
        <v>395</v>
      </c>
      <c r="G51" s="16">
        <f>SUM(E51:F51)</f>
        <v>474</v>
      </c>
      <c r="H51" s="17">
        <f t="shared" si="14"/>
        <v>176</v>
      </c>
      <c r="I51" s="16">
        <f t="shared" si="14"/>
        <v>1242</v>
      </c>
      <c r="J51" s="16">
        <f>SUM(H51:I51)</f>
        <v>1418</v>
      </c>
    </row>
    <row r="52" spans="1:10" s="1" customFormat="1" ht="12.75">
      <c r="A52" s="13" t="s">
        <v>5</v>
      </c>
      <c r="B52" s="19">
        <f>SUM(B48:B51)</f>
        <v>484</v>
      </c>
      <c r="C52" s="20">
        <f>SUM(C48:C51)</f>
        <v>4331</v>
      </c>
      <c r="D52" s="20">
        <f>SUM(B52:C52)</f>
        <v>4815</v>
      </c>
      <c r="E52" s="19">
        <f>SUM(E48:E51)</f>
        <v>368</v>
      </c>
      <c r="F52" s="20">
        <f>SUM(F48:F51)</f>
        <v>2073</v>
      </c>
      <c r="G52" s="20">
        <f>SUM(E52:F52)</f>
        <v>2441</v>
      </c>
      <c r="H52" s="19">
        <f>SUM(H48:H51)</f>
        <v>852</v>
      </c>
      <c r="I52" s="20">
        <f>SUM(I48:I51)</f>
        <v>6404</v>
      </c>
      <c r="J52" s="20">
        <f>SUM(J48:J51)</f>
        <v>7256</v>
      </c>
    </row>
    <row r="53" spans="1:10" s="118" customFormat="1" ht="12.75">
      <c r="A53" s="115"/>
      <c r="B53" s="116"/>
      <c r="C53" s="117"/>
      <c r="D53" s="117"/>
      <c r="E53" s="116"/>
      <c r="F53" s="117"/>
      <c r="G53" s="117"/>
      <c r="H53" s="116"/>
      <c r="I53" s="117"/>
      <c r="J53" s="117"/>
    </row>
    <row r="54" spans="1:10" ht="12.75">
      <c r="A54" s="113" t="s">
        <v>2</v>
      </c>
      <c r="B54" s="17"/>
      <c r="C54" s="109"/>
      <c r="D54" s="109"/>
      <c r="E54" s="17"/>
      <c r="F54" s="109"/>
      <c r="G54" s="109"/>
      <c r="H54" s="17"/>
      <c r="I54" s="109"/>
      <c r="J54" s="109"/>
    </row>
    <row r="55" spans="1:8" ht="12.75">
      <c r="A55" s="1" t="s">
        <v>8</v>
      </c>
      <c r="B55" s="12"/>
      <c r="E55" s="12"/>
      <c r="H55" s="12"/>
    </row>
    <row r="56" spans="1:10" ht="12.75">
      <c r="A56" s="2" t="s">
        <v>38</v>
      </c>
      <c r="B56" s="15">
        <f aca="true" t="shared" si="15" ref="B56:C59">B12+B34</f>
        <v>81</v>
      </c>
      <c r="C56" s="21">
        <f t="shared" si="15"/>
        <v>569</v>
      </c>
      <c r="D56" s="16">
        <f>SUM(B56:C56)</f>
        <v>650</v>
      </c>
      <c r="E56" s="17">
        <f aca="true" t="shared" si="16" ref="E56:F59">E12+E34</f>
        <v>106</v>
      </c>
      <c r="F56" s="109">
        <f t="shared" si="16"/>
        <v>414</v>
      </c>
      <c r="G56" s="16">
        <f>SUM(E56:F56)</f>
        <v>520</v>
      </c>
      <c r="H56" s="17">
        <f aca="true" t="shared" si="17" ref="H56:I59">SUM(B56,E56)</f>
        <v>187</v>
      </c>
      <c r="I56" s="16">
        <f t="shared" si="17"/>
        <v>983</v>
      </c>
      <c r="J56" s="16">
        <f>SUM(H56:I56)</f>
        <v>1170</v>
      </c>
    </row>
    <row r="57" spans="1:10" ht="12.75">
      <c r="A57" s="2" t="s">
        <v>39</v>
      </c>
      <c r="B57" s="15">
        <f t="shared" si="15"/>
        <v>169</v>
      </c>
      <c r="C57" s="21">
        <f t="shared" si="15"/>
        <v>2327</v>
      </c>
      <c r="D57" s="16">
        <f>SUM(B57:C57)</f>
        <v>2496</v>
      </c>
      <c r="E57" s="17">
        <f t="shared" si="16"/>
        <v>159</v>
      </c>
      <c r="F57" s="109">
        <f t="shared" si="16"/>
        <v>912</v>
      </c>
      <c r="G57" s="16">
        <f>SUM(E57:F57)</f>
        <v>1071</v>
      </c>
      <c r="H57" s="17">
        <f t="shared" si="17"/>
        <v>328</v>
      </c>
      <c r="I57" s="16">
        <f t="shared" si="17"/>
        <v>3239</v>
      </c>
      <c r="J57" s="16">
        <f>SUM(H57:I57)</f>
        <v>3567</v>
      </c>
    </row>
    <row r="58" spans="1:10" ht="12.75">
      <c r="A58" s="2" t="s">
        <v>40</v>
      </c>
      <c r="B58" s="15">
        <f t="shared" si="15"/>
        <v>0</v>
      </c>
      <c r="C58" s="21">
        <f t="shared" si="15"/>
        <v>3</v>
      </c>
      <c r="D58" s="16">
        <f>SUM(B58:C58)</f>
        <v>3</v>
      </c>
      <c r="E58" s="17">
        <f t="shared" si="16"/>
        <v>0</v>
      </c>
      <c r="F58" s="109">
        <f t="shared" si="16"/>
        <v>1</v>
      </c>
      <c r="G58" s="16">
        <f>SUM(E58:F58)</f>
        <v>1</v>
      </c>
      <c r="H58" s="17">
        <f t="shared" si="17"/>
        <v>0</v>
      </c>
      <c r="I58" s="16">
        <f t="shared" si="17"/>
        <v>4</v>
      </c>
      <c r="J58" s="16">
        <f>SUM(H58:I58)</f>
        <v>4</v>
      </c>
    </row>
    <row r="59" spans="1:10" ht="12.75">
      <c r="A59" s="2" t="s">
        <v>41</v>
      </c>
      <c r="B59" s="110">
        <f t="shared" si="15"/>
        <v>87</v>
      </c>
      <c r="C59" s="21">
        <f t="shared" si="15"/>
        <v>922</v>
      </c>
      <c r="D59" s="16">
        <f>SUM(B59:C59)</f>
        <v>1009</v>
      </c>
      <c r="E59" s="111">
        <f t="shared" si="16"/>
        <v>85</v>
      </c>
      <c r="F59" s="109">
        <f t="shared" si="16"/>
        <v>375</v>
      </c>
      <c r="G59" s="16">
        <f>SUM(E59:F59)</f>
        <v>460</v>
      </c>
      <c r="H59" s="17">
        <f t="shared" si="17"/>
        <v>172</v>
      </c>
      <c r="I59" s="16">
        <f t="shared" si="17"/>
        <v>1297</v>
      </c>
      <c r="J59" s="16">
        <f>SUM(H59:I59)</f>
        <v>1469</v>
      </c>
    </row>
    <row r="60" spans="1:10" s="1" customFormat="1" ht="12.75">
      <c r="A60" s="13" t="s">
        <v>5</v>
      </c>
      <c r="B60" s="19">
        <f>SUM(B56:B59)</f>
        <v>337</v>
      </c>
      <c r="C60" s="20">
        <f aca="true" t="shared" si="18" ref="C60:J60">SUM(C56:C59)</f>
        <v>3821</v>
      </c>
      <c r="D60" s="20">
        <f t="shared" si="18"/>
        <v>4158</v>
      </c>
      <c r="E60" s="19">
        <f t="shared" si="18"/>
        <v>350</v>
      </c>
      <c r="F60" s="20">
        <f t="shared" si="18"/>
        <v>1702</v>
      </c>
      <c r="G60" s="20">
        <f t="shared" si="18"/>
        <v>2052</v>
      </c>
      <c r="H60" s="19">
        <f t="shared" si="18"/>
        <v>687</v>
      </c>
      <c r="I60" s="20">
        <f t="shared" si="18"/>
        <v>5523</v>
      </c>
      <c r="J60" s="20">
        <f t="shared" si="18"/>
        <v>6210</v>
      </c>
    </row>
    <row r="61" spans="2:10" ht="12.75">
      <c r="B61" s="17"/>
      <c r="C61" s="16"/>
      <c r="D61" s="16"/>
      <c r="E61" s="17"/>
      <c r="F61" s="16"/>
      <c r="G61" s="16"/>
      <c r="H61" s="17"/>
      <c r="I61" s="16"/>
      <c r="J61" s="16"/>
    </row>
    <row r="62" spans="1:10" ht="12.75">
      <c r="A62" s="1" t="s">
        <v>12</v>
      </c>
      <c r="B62" s="17"/>
      <c r="C62" s="16"/>
      <c r="D62" s="16"/>
      <c r="E62" s="17"/>
      <c r="F62" s="16"/>
      <c r="G62" s="16"/>
      <c r="H62" s="17"/>
      <c r="I62" s="16"/>
      <c r="J62" s="16"/>
    </row>
    <row r="63" spans="1:10" ht="12.75">
      <c r="A63" s="2" t="s">
        <v>38</v>
      </c>
      <c r="B63" s="15">
        <f aca="true" t="shared" si="19" ref="B63:C66">B19+B41</f>
        <v>60</v>
      </c>
      <c r="C63" s="21">
        <f t="shared" si="19"/>
        <v>499</v>
      </c>
      <c r="D63" s="16">
        <f>SUM(B63:C63)</f>
        <v>559</v>
      </c>
      <c r="E63" s="17">
        <f aca="true" t="shared" si="20" ref="E63:F66">E19+E41</f>
        <v>18</v>
      </c>
      <c r="F63" s="109">
        <f t="shared" si="20"/>
        <v>273</v>
      </c>
      <c r="G63" s="16">
        <f>SUM(E63:F63)</f>
        <v>291</v>
      </c>
      <c r="H63" s="17">
        <f aca="true" t="shared" si="21" ref="H63:I66">SUM(B63,E63)</f>
        <v>78</v>
      </c>
      <c r="I63" s="16">
        <f t="shared" si="21"/>
        <v>772</v>
      </c>
      <c r="J63" s="16">
        <f>SUM(H63:I63)</f>
        <v>850</v>
      </c>
    </row>
    <row r="64" spans="1:10" ht="12.75">
      <c r="A64" s="2" t="s">
        <v>39</v>
      </c>
      <c r="B64" s="15">
        <f t="shared" si="19"/>
        <v>84</v>
      </c>
      <c r="C64" s="21">
        <f t="shared" si="19"/>
        <v>989</v>
      </c>
      <c r="D64" s="16">
        <f>SUM(B64:C64)</f>
        <v>1073</v>
      </c>
      <c r="E64" s="17">
        <f t="shared" si="20"/>
        <v>19</v>
      </c>
      <c r="F64" s="109">
        <f t="shared" si="20"/>
        <v>446</v>
      </c>
      <c r="G64" s="16">
        <f>SUM(E64:F64)</f>
        <v>465</v>
      </c>
      <c r="H64" s="17">
        <f t="shared" si="21"/>
        <v>103</v>
      </c>
      <c r="I64" s="16">
        <f t="shared" si="21"/>
        <v>1435</v>
      </c>
      <c r="J64" s="16">
        <f>SUM(H64:I64)</f>
        <v>1538</v>
      </c>
    </row>
    <row r="65" spans="1:10" ht="12.75">
      <c r="A65" s="2" t="s">
        <v>40</v>
      </c>
      <c r="B65" s="15">
        <f t="shared" si="19"/>
        <v>0</v>
      </c>
      <c r="C65" s="21">
        <f t="shared" si="19"/>
        <v>24</v>
      </c>
      <c r="D65" s="16">
        <f>SUM(B65:C65)</f>
        <v>24</v>
      </c>
      <c r="E65" s="17">
        <f t="shared" si="20"/>
        <v>1</v>
      </c>
      <c r="F65" s="109">
        <f t="shared" si="20"/>
        <v>8</v>
      </c>
      <c r="G65" s="16">
        <f>SUM(E65:F65)</f>
        <v>9</v>
      </c>
      <c r="H65" s="17">
        <f t="shared" si="21"/>
        <v>1</v>
      </c>
      <c r="I65" s="16">
        <f t="shared" si="21"/>
        <v>32</v>
      </c>
      <c r="J65" s="16">
        <f>SUM(H65:I65)</f>
        <v>33</v>
      </c>
    </row>
    <row r="66" spans="1:10" ht="12.75">
      <c r="A66" s="2" t="s">
        <v>41</v>
      </c>
      <c r="B66" s="110">
        <f t="shared" si="19"/>
        <v>14</v>
      </c>
      <c r="C66" s="21">
        <f t="shared" si="19"/>
        <v>220</v>
      </c>
      <c r="D66" s="16">
        <f>SUM(B66:C66)</f>
        <v>234</v>
      </c>
      <c r="E66" s="111">
        <f t="shared" si="20"/>
        <v>3</v>
      </c>
      <c r="F66" s="109">
        <f t="shared" si="20"/>
        <v>115</v>
      </c>
      <c r="G66" s="16">
        <f>SUM(E66:F66)</f>
        <v>118</v>
      </c>
      <c r="H66" s="17">
        <f t="shared" si="21"/>
        <v>17</v>
      </c>
      <c r="I66" s="16">
        <f t="shared" si="21"/>
        <v>335</v>
      </c>
      <c r="J66" s="16">
        <f>SUM(H66:I66)</f>
        <v>352</v>
      </c>
    </row>
    <row r="67" spans="1:10" s="1" customFormat="1" ht="12.75">
      <c r="A67" s="13" t="s">
        <v>5</v>
      </c>
      <c r="B67" s="22">
        <f aca="true" t="shared" si="22" ref="B67:J67">SUM(B63:B66)</f>
        <v>158</v>
      </c>
      <c r="C67" s="20">
        <f t="shared" si="22"/>
        <v>1732</v>
      </c>
      <c r="D67" s="20">
        <f t="shared" si="22"/>
        <v>1890</v>
      </c>
      <c r="E67" s="19">
        <f t="shared" si="22"/>
        <v>41</v>
      </c>
      <c r="F67" s="20">
        <f t="shared" si="22"/>
        <v>842</v>
      </c>
      <c r="G67" s="20">
        <f t="shared" si="22"/>
        <v>883</v>
      </c>
      <c r="H67" s="19">
        <f t="shared" si="22"/>
        <v>199</v>
      </c>
      <c r="I67" s="20">
        <f t="shared" si="22"/>
        <v>2574</v>
      </c>
      <c r="J67" s="20">
        <f t="shared" si="22"/>
        <v>2773</v>
      </c>
    </row>
    <row r="68" spans="2:10" ht="12.75">
      <c r="B68" s="17"/>
      <c r="C68" s="16"/>
      <c r="D68" s="16"/>
      <c r="E68" s="17"/>
      <c r="F68" s="16"/>
      <c r="G68" s="16"/>
      <c r="H68" s="17"/>
      <c r="I68" s="16"/>
      <c r="J68" s="16"/>
    </row>
    <row r="69" spans="1:10" ht="12.75">
      <c r="A69" s="114" t="s">
        <v>13</v>
      </c>
      <c r="B69" s="17"/>
      <c r="C69" s="109"/>
      <c r="D69" s="109"/>
      <c r="E69" s="17"/>
      <c r="F69" s="109"/>
      <c r="G69" s="109"/>
      <c r="H69" s="17"/>
      <c r="I69" s="109"/>
      <c r="J69" s="109"/>
    </row>
    <row r="70" spans="1:10" ht="12.75">
      <c r="A70" s="2" t="s">
        <v>38</v>
      </c>
      <c r="B70" s="17">
        <f aca="true" t="shared" si="23" ref="B70:C73">SUM(B56,B63)</f>
        <v>141</v>
      </c>
      <c r="C70" s="16">
        <f t="shared" si="23"/>
        <v>1068</v>
      </c>
      <c r="D70" s="16">
        <f>SUM(B70:C70)</f>
        <v>1209</v>
      </c>
      <c r="E70" s="17">
        <f aca="true" t="shared" si="24" ref="E70:F73">SUM(E56,E63)</f>
        <v>124</v>
      </c>
      <c r="F70" s="16">
        <f t="shared" si="24"/>
        <v>687</v>
      </c>
      <c r="G70" s="16">
        <f>SUM(E70:F70)</f>
        <v>811</v>
      </c>
      <c r="H70" s="17">
        <f aca="true" t="shared" si="25" ref="H70:I73">SUM(B70,E70)</f>
        <v>265</v>
      </c>
      <c r="I70" s="16">
        <f t="shared" si="25"/>
        <v>1755</v>
      </c>
      <c r="J70" s="16">
        <f>SUM(H70:I70)</f>
        <v>2020</v>
      </c>
    </row>
    <row r="71" spans="1:10" ht="12.75">
      <c r="A71" s="2" t="s">
        <v>39</v>
      </c>
      <c r="B71" s="17">
        <f t="shared" si="23"/>
        <v>253</v>
      </c>
      <c r="C71" s="16">
        <f t="shared" si="23"/>
        <v>3316</v>
      </c>
      <c r="D71" s="16">
        <f>SUM(B71:C71)</f>
        <v>3569</v>
      </c>
      <c r="E71" s="17">
        <f t="shared" si="24"/>
        <v>178</v>
      </c>
      <c r="F71" s="16">
        <f t="shared" si="24"/>
        <v>1358</v>
      </c>
      <c r="G71" s="16">
        <f>SUM(E71:F71)</f>
        <v>1536</v>
      </c>
      <c r="H71" s="17">
        <f t="shared" si="25"/>
        <v>431</v>
      </c>
      <c r="I71" s="16">
        <f t="shared" si="25"/>
        <v>4674</v>
      </c>
      <c r="J71" s="16">
        <f>SUM(H71:I71)</f>
        <v>5105</v>
      </c>
    </row>
    <row r="72" spans="1:10" ht="12.75">
      <c r="A72" s="2" t="s">
        <v>40</v>
      </c>
      <c r="B72" s="17">
        <f t="shared" si="23"/>
        <v>0</v>
      </c>
      <c r="C72" s="16">
        <f t="shared" si="23"/>
        <v>27</v>
      </c>
      <c r="D72" s="16">
        <f>SUM(B72:C72)</f>
        <v>27</v>
      </c>
      <c r="E72" s="17">
        <f t="shared" si="24"/>
        <v>1</v>
      </c>
      <c r="F72" s="16">
        <f t="shared" si="24"/>
        <v>9</v>
      </c>
      <c r="G72" s="16">
        <f>SUM(E72:F72)</f>
        <v>10</v>
      </c>
      <c r="H72" s="17">
        <f t="shared" si="25"/>
        <v>1</v>
      </c>
      <c r="I72" s="16">
        <f t="shared" si="25"/>
        <v>36</v>
      </c>
      <c r="J72" s="16">
        <f>SUM(H72:I72)</f>
        <v>37</v>
      </c>
    </row>
    <row r="73" spans="1:10" ht="12.75">
      <c r="A73" s="2" t="s">
        <v>41</v>
      </c>
      <c r="B73" s="17">
        <f t="shared" si="23"/>
        <v>101</v>
      </c>
      <c r="C73" s="16">
        <f t="shared" si="23"/>
        <v>1142</v>
      </c>
      <c r="D73" s="16">
        <f>SUM(B73:C73)</f>
        <v>1243</v>
      </c>
      <c r="E73" s="17">
        <f t="shared" si="24"/>
        <v>88</v>
      </c>
      <c r="F73" s="16">
        <f t="shared" si="24"/>
        <v>490</v>
      </c>
      <c r="G73" s="16">
        <f>SUM(E73:F73)</f>
        <v>578</v>
      </c>
      <c r="H73" s="17">
        <f t="shared" si="25"/>
        <v>189</v>
      </c>
      <c r="I73" s="16">
        <f t="shared" si="25"/>
        <v>1632</v>
      </c>
      <c r="J73" s="16">
        <f>SUM(H73:I73)</f>
        <v>1821</v>
      </c>
    </row>
    <row r="74" spans="1:10" s="1" customFormat="1" ht="12.75">
      <c r="A74" s="13" t="s">
        <v>5</v>
      </c>
      <c r="B74" s="19">
        <f>SUM(B70:B73)</f>
        <v>495</v>
      </c>
      <c r="C74" s="20">
        <f>SUM(C70:C73)</f>
        <v>5553</v>
      </c>
      <c r="D74" s="20">
        <f>SUM(B74:C74)</f>
        <v>6048</v>
      </c>
      <c r="E74" s="19">
        <f>SUM(E70:E73)</f>
        <v>391</v>
      </c>
      <c r="F74" s="20">
        <f>SUM(F70:F73)</f>
        <v>2544</v>
      </c>
      <c r="G74" s="20">
        <f>SUM(E74:F74)</f>
        <v>2935</v>
      </c>
      <c r="H74" s="19">
        <f>SUM(H70:H73)</f>
        <v>886</v>
      </c>
      <c r="I74" s="20">
        <f>SUM(I70:I73)</f>
        <v>8097</v>
      </c>
      <c r="J74" s="20">
        <f>SUM(J70:J73)</f>
        <v>8983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M36" sqref="M36"/>
    </sheetView>
  </sheetViews>
  <sheetFormatPr defaultColWidth="9.140625" defaultRowHeight="12" customHeight="1"/>
  <cols>
    <col min="1" max="1" width="33.00390625" style="66" customWidth="1"/>
    <col min="2" max="16384" width="9.140625" style="66" customWidth="1"/>
  </cols>
  <sheetData>
    <row r="1" spans="1:10" ht="12" customHeight="1">
      <c r="A1" s="64" t="s">
        <v>51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2" customHeight="1">
      <c r="A2" s="67" t="s">
        <v>28</v>
      </c>
      <c r="B2" s="68"/>
      <c r="C2" s="68"/>
      <c r="D2" s="68"/>
      <c r="E2" s="69"/>
      <c r="F2" s="69"/>
      <c r="G2" s="68"/>
      <c r="H2" s="68"/>
      <c r="I2" s="68"/>
      <c r="J2" s="68"/>
    </row>
    <row r="3" spans="1:10" ht="12" customHeight="1">
      <c r="A3" s="68"/>
      <c r="B3" s="68"/>
      <c r="C3" s="68"/>
      <c r="D3" s="68"/>
      <c r="E3" s="69"/>
      <c r="F3" s="67"/>
      <c r="G3" s="68"/>
      <c r="H3" s="68"/>
      <c r="I3" s="68"/>
      <c r="J3" s="68"/>
    </row>
    <row r="4" spans="1:10" ht="12" customHeight="1">
      <c r="A4" s="67" t="s">
        <v>54</v>
      </c>
      <c r="B4" s="68"/>
      <c r="C4" s="68"/>
      <c r="D4" s="68"/>
      <c r="E4" s="69"/>
      <c r="F4" s="69"/>
      <c r="G4" s="68"/>
      <c r="H4" s="68"/>
      <c r="I4" s="68"/>
      <c r="J4" s="68"/>
    </row>
    <row r="5" spans="1:10" ht="12" customHeight="1">
      <c r="A5" s="67"/>
      <c r="B5" s="68"/>
      <c r="C5" s="68"/>
      <c r="D5" s="68"/>
      <c r="E5" s="69"/>
      <c r="F5" s="69"/>
      <c r="G5" s="68"/>
      <c r="H5" s="68"/>
      <c r="I5" s="68"/>
      <c r="J5" s="68"/>
    </row>
    <row r="6" spans="1:10" ht="12" customHeight="1">
      <c r="A6" s="67" t="s">
        <v>16</v>
      </c>
      <c r="B6" s="68"/>
      <c r="C6" s="68"/>
      <c r="D6" s="68"/>
      <c r="E6" s="69"/>
      <c r="F6" s="67"/>
      <c r="G6" s="68"/>
      <c r="H6" s="68"/>
      <c r="I6" s="68"/>
      <c r="J6" s="68"/>
    </row>
    <row r="7" spans="1:10" ht="12" customHeight="1">
      <c r="A7" s="67"/>
      <c r="B7" s="68"/>
      <c r="C7" s="68"/>
      <c r="D7" s="68"/>
      <c r="E7" s="69"/>
      <c r="F7" s="67"/>
      <c r="G7" s="68"/>
      <c r="H7" s="68"/>
      <c r="I7" s="68"/>
      <c r="J7" s="68"/>
    </row>
    <row r="8" spans="1:10" ht="12" customHeight="1">
      <c r="A8" s="67" t="s">
        <v>63</v>
      </c>
      <c r="B8" s="68"/>
      <c r="C8" s="68"/>
      <c r="D8" s="68"/>
      <c r="E8" s="69"/>
      <c r="F8" s="67"/>
      <c r="G8" s="68"/>
      <c r="H8" s="68"/>
      <c r="I8" s="68"/>
      <c r="J8" s="68"/>
    </row>
    <row r="9" spans="1:10" ht="12" customHeight="1" thickBot="1">
      <c r="A9" s="65"/>
      <c r="B9" s="65"/>
      <c r="C9" s="65"/>
      <c r="D9" s="65"/>
      <c r="E9" s="65"/>
      <c r="F9" s="65"/>
      <c r="G9" s="65"/>
      <c r="H9" s="65"/>
      <c r="I9" s="65"/>
      <c r="J9" s="65"/>
    </row>
    <row r="10" spans="1:10" ht="12" customHeight="1">
      <c r="A10" s="70"/>
      <c r="B10" s="71" t="s">
        <v>3</v>
      </c>
      <c r="C10" s="72"/>
      <c r="D10" s="72"/>
      <c r="E10" s="71" t="s">
        <v>4</v>
      </c>
      <c r="F10" s="72"/>
      <c r="G10" s="72"/>
      <c r="H10" s="71" t="s">
        <v>5</v>
      </c>
      <c r="I10" s="72"/>
      <c r="J10" s="72"/>
    </row>
    <row r="11" spans="1:10" ht="12" customHeight="1">
      <c r="A11" s="122" t="s">
        <v>17</v>
      </c>
      <c r="B11" s="73" t="s">
        <v>6</v>
      </c>
      <c r="C11" s="74" t="s">
        <v>7</v>
      </c>
      <c r="D11" s="74" t="s">
        <v>5</v>
      </c>
      <c r="E11" s="73" t="s">
        <v>6</v>
      </c>
      <c r="F11" s="74" t="s">
        <v>7</v>
      </c>
      <c r="G11" s="74" t="s">
        <v>5</v>
      </c>
      <c r="H11" s="73" t="s">
        <v>6</v>
      </c>
      <c r="I11" s="74" t="s">
        <v>7</v>
      </c>
      <c r="J11" s="74" t="s">
        <v>5</v>
      </c>
    </row>
    <row r="12" spans="1:10" ht="12" customHeight="1">
      <c r="A12" s="75"/>
      <c r="B12" s="76"/>
      <c r="C12" s="75"/>
      <c r="D12" s="75"/>
      <c r="E12" s="76"/>
      <c r="F12" s="75"/>
      <c r="G12" s="75"/>
      <c r="H12" s="76"/>
      <c r="I12" s="75"/>
      <c r="J12" s="75"/>
    </row>
    <row r="13" spans="1:10" ht="12" customHeight="1">
      <c r="A13" s="65" t="s">
        <v>18</v>
      </c>
      <c r="B13" s="77">
        <f aca="true" t="shared" si="0" ref="B13:J13">SUM(B36,B52,B68,B84)</f>
        <v>0</v>
      </c>
      <c r="C13" s="78">
        <f t="shared" si="0"/>
        <v>0</v>
      </c>
      <c r="D13" s="78">
        <f t="shared" si="0"/>
        <v>0</v>
      </c>
      <c r="E13" s="77">
        <f t="shared" si="0"/>
        <v>62</v>
      </c>
      <c r="F13" s="78">
        <f t="shared" si="0"/>
        <v>157</v>
      </c>
      <c r="G13" s="78">
        <f t="shared" si="0"/>
        <v>219</v>
      </c>
      <c r="H13" s="77">
        <f t="shared" si="0"/>
        <v>62</v>
      </c>
      <c r="I13" s="78">
        <f t="shared" si="0"/>
        <v>157</v>
      </c>
      <c r="J13" s="78">
        <f t="shared" si="0"/>
        <v>219</v>
      </c>
    </row>
    <row r="14" spans="1:10" ht="12" customHeight="1">
      <c r="A14" s="65" t="s">
        <v>19</v>
      </c>
      <c r="B14" s="77">
        <f aca="true" t="shared" si="1" ref="B14:J14">SUM(B37,B53,B69,B85)</f>
        <v>15</v>
      </c>
      <c r="C14" s="78">
        <f t="shared" si="1"/>
        <v>74</v>
      </c>
      <c r="D14" s="78">
        <f t="shared" si="1"/>
        <v>89</v>
      </c>
      <c r="E14" s="77">
        <f t="shared" si="1"/>
        <v>74</v>
      </c>
      <c r="F14" s="78">
        <f t="shared" si="1"/>
        <v>280</v>
      </c>
      <c r="G14" s="78">
        <f t="shared" si="1"/>
        <v>354</v>
      </c>
      <c r="H14" s="77">
        <f t="shared" si="1"/>
        <v>89</v>
      </c>
      <c r="I14" s="78">
        <f t="shared" si="1"/>
        <v>354</v>
      </c>
      <c r="J14" s="78">
        <f t="shared" si="1"/>
        <v>443</v>
      </c>
    </row>
    <row r="15" spans="1:10" ht="12" customHeight="1">
      <c r="A15" s="65" t="s">
        <v>20</v>
      </c>
      <c r="B15" s="77">
        <f aca="true" t="shared" si="2" ref="B15:J15">SUM(B38,B54,B70,B86)</f>
        <v>66</v>
      </c>
      <c r="C15" s="78">
        <f t="shared" si="2"/>
        <v>386</v>
      </c>
      <c r="D15" s="78">
        <f t="shared" si="2"/>
        <v>452</v>
      </c>
      <c r="E15" s="77">
        <f t="shared" si="2"/>
        <v>87</v>
      </c>
      <c r="F15" s="78">
        <f t="shared" si="2"/>
        <v>269</v>
      </c>
      <c r="G15" s="78">
        <f t="shared" si="2"/>
        <v>356</v>
      </c>
      <c r="H15" s="77">
        <f t="shared" si="2"/>
        <v>153</v>
      </c>
      <c r="I15" s="78">
        <f t="shared" si="2"/>
        <v>655</v>
      </c>
      <c r="J15" s="78">
        <f t="shared" si="2"/>
        <v>808</v>
      </c>
    </row>
    <row r="16" spans="1:10" ht="12" customHeight="1">
      <c r="A16" s="65" t="s">
        <v>21</v>
      </c>
      <c r="B16" s="77">
        <f aca="true" t="shared" si="3" ref="B16:J16">SUM(B39,B55,B71,B87)</f>
        <v>40</v>
      </c>
      <c r="C16" s="78">
        <f t="shared" si="3"/>
        <v>350</v>
      </c>
      <c r="D16" s="78">
        <f t="shared" si="3"/>
        <v>390</v>
      </c>
      <c r="E16" s="77">
        <f t="shared" si="3"/>
        <v>37</v>
      </c>
      <c r="F16" s="78">
        <f t="shared" si="3"/>
        <v>246</v>
      </c>
      <c r="G16" s="78">
        <f t="shared" si="3"/>
        <v>283</v>
      </c>
      <c r="H16" s="77">
        <f t="shared" si="3"/>
        <v>77</v>
      </c>
      <c r="I16" s="78">
        <f t="shared" si="3"/>
        <v>596</v>
      </c>
      <c r="J16" s="78">
        <f t="shared" si="3"/>
        <v>673</v>
      </c>
    </row>
    <row r="17" spans="1:10" ht="12" customHeight="1">
      <c r="A17" s="65" t="s">
        <v>22</v>
      </c>
      <c r="B17" s="77">
        <f aca="true" t="shared" si="4" ref="B17:J17">SUM(B40,B56,B72,B88)</f>
        <v>39</v>
      </c>
      <c r="C17" s="78">
        <f t="shared" si="4"/>
        <v>472</v>
      </c>
      <c r="D17" s="78">
        <f t="shared" si="4"/>
        <v>511</v>
      </c>
      <c r="E17" s="77">
        <f t="shared" si="4"/>
        <v>25</v>
      </c>
      <c r="F17" s="78">
        <f t="shared" si="4"/>
        <v>296</v>
      </c>
      <c r="G17" s="78">
        <f t="shared" si="4"/>
        <v>321</v>
      </c>
      <c r="H17" s="77">
        <f t="shared" si="4"/>
        <v>64</v>
      </c>
      <c r="I17" s="78">
        <f t="shared" si="4"/>
        <v>768</v>
      </c>
      <c r="J17" s="78">
        <f t="shared" si="4"/>
        <v>832</v>
      </c>
    </row>
    <row r="18" spans="1:10" ht="12" customHeight="1">
      <c r="A18" s="65" t="s">
        <v>23</v>
      </c>
      <c r="B18" s="77">
        <f aca="true" t="shared" si="5" ref="B18:J18">SUM(B41,B57,B73,B89)</f>
        <v>34</v>
      </c>
      <c r="C18" s="78">
        <f t="shared" si="5"/>
        <v>845</v>
      </c>
      <c r="D18" s="78">
        <f t="shared" si="5"/>
        <v>879</v>
      </c>
      <c r="E18" s="77">
        <f t="shared" si="5"/>
        <v>20</v>
      </c>
      <c r="F18" s="78">
        <f t="shared" si="5"/>
        <v>257</v>
      </c>
      <c r="G18" s="78">
        <f t="shared" si="5"/>
        <v>277</v>
      </c>
      <c r="H18" s="77">
        <f t="shared" si="5"/>
        <v>54</v>
      </c>
      <c r="I18" s="78">
        <f t="shared" si="5"/>
        <v>1102</v>
      </c>
      <c r="J18" s="78">
        <f t="shared" si="5"/>
        <v>1156</v>
      </c>
    </row>
    <row r="19" spans="1:10" ht="12" customHeight="1">
      <c r="A19" s="65" t="s">
        <v>24</v>
      </c>
      <c r="B19" s="77">
        <f aca="true" t="shared" si="6" ref="B19:J19">SUM(B42,B58,B74,B90)</f>
        <v>64</v>
      </c>
      <c r="C19" s="78">
        <f t="shared" si="6"/>
        <v>946</v>
      </c>
      <c r="D19" s="78">
        <f t="shared" si="6"/>
        <v>1010</v>
      </c>
      <c r="E19" s="77">
        <f t="shared" si="6"/>
        <v>21</v>
      </c>
      <c r="F19" s="78">
        <f t="shared" si="6"/>
        <v>139</v>
      </c>
      <c r="G19" s="78">
        <f t="shared" si="6"/>
        <v>160</v>
      </c>
      <c r="H19" s="77">
        <f t="shared" si="6"/>
        <v>85</v>
      </c>
      <c r="I19" s="78">
        <f t="shared" si="6"/>
        <v>1085</v>
      </c>
      <c r="J19" s="78">
        <f t="shared" si="6"/>
        <v>1170</v>
      </c>
    </row>
    <row r="20" spans="1:10" ht="12" customHeight="1">
      <c r="A20" s="65" t="s">
        <v>25</v>
      </c>
      <c r="B20" s="77">
        <f aca="true" t="shared" si="7" ref="B20:J20">SUM(B43,B59,B75,B91)</f>
        <v>63</v>
      </c>
      <c r="C20" s="78">
        <f t="shared" si="7"/>
        <v>603</v>
      </c>
      <c r="D20" s="78">
        <f t="shared" si="7"/>
        <v>666</v>
      </c>
      <c r="E20" s="77">
        <f t="shared" si="7"/>
        <v>15</v>
      </c>
      <c r="F20" s="78">
        <f t="shared" si="7"/>
        <v>41</v>
      </c>
      <c r="G20" s="78">
        <f t="shared" si="7"/>
        <v>56</v>
      </c>
      <c r="H20" s="77">
        <f t="shared" si="7"/>
        <v>78</v>
      </c>
      <c r="I20" s="78">
        <f t="shared" si="7"/>
        <v>644</v>
      </c>
      <c r="J20" s="78">
        <f t="shared" si="7"/>
        <v>722</v>
      </c>
    </row>
    <row r="21" spans="1:10" ht="12" customHeight="1">
      <c r="A21" s="65" t="s">
        <v>26</v>
      </c>
      <c r="B21" s="77">
        <f aca="true" t="shared" si="8" ref="B21:J21">SUM(B44,B60,B76,B92)</f>
        <v>16</v>
      </c>
      <c r="C21" s="78">
        <f t="shared" si="8"/>
        <v>145</v>
      </c>
      <c r="D21" s="80">
        <f t="shared" si="8"/>
        <v>161</v>
      </c>
      <c r="E21" s="77">
        <f t="shared" si="8"/>
        <v>9</v>
      </c>
      <c r="F21" s="78">
        <f t="shared" si="8"/>
        <v>17</v>
      </c>
      <c r="G21" s="80">
        <f t="shared" si="8"/>
        <v>26</v>
      </c>
      <c r="H21" s="77">
        <f t="shared" si="8"/>
        <v>25</v>
      </c>
      <c r="I21" s="78">
        <f t="shared" si="8"/>
        <v>162</v>
      </c>
      <c r="J21" s="80">
        <f t="shared" si="8"/>
        <v>187</v>
      </c>
    </row>
    <row r="22" spans="1:10" ht="12" customHeight="1">
      <c r="A22" s="81" t="s">
        <v>5</v>
      </c>
      <c r="B22" s="82">
        <f aca="true" t="shared" si="9" ref="B22:J22">SUM(B45,B61,B77,B93)</f>
        <v>337</v>
      </c>
      <c r="C22" s="83">
        <f t="shared" si="9"/>
        <v>3821</v>
      </c>
      <c r="D22" s="83">
        <f t="shared" si="9"/>
        <v>4158</v>
      </c>
      <c r="E22" s="82">
        <f t="shared" si="9"/>
        <v>350</v>
      </c>
      <c r="F22" s="83">
        <f t="shared" si="9"/>
        <v>1702</v>
      </c>
      <c r="G22" s="83">
        <f t="shared" si="9"/>
        <v>2052</v>
      </c>
      <c r="H22" s="82">
        <f t="shared" si="9"/>
        <v>687</v>
      </c>
      <c r="I22" s="83">
        <f t="shared" si="9"/>
        <v>5523</v>
      </c>
      <c r="J22" s="83">
        <f t="shared" si="9"/>
        <v>6210</v>
      </c>
    </row>
    <row r="23" ht="9" customHeight="1"/>
    <row r="24" spans="1:10" ht="12" customHeight="1">
      <c r="A24" s="64" t="s">
        <v>51</v>
      </c>
      <c r="B24" s="65"/>
      <c r="C24" s="65"/>
      <c r="D24" s="65"/>
      <c r="E24" s="65"/>
      <c r="F24" s="65"/>
      <c r="G24" s="65"/>
      <c r="H24" s="65"/>
      <c r="I24" s="65"/>
      <c r="J24" s="65"/>
    </row>
    <row r="25" spans="1:10" ht="12" customHeight="1">
      <c r="A25" s="67" t="s">
        <v>28</v>
      </c>
      <c r="B25" s="68"/>
      <c r="C25" s="68"/>
      <c r="D25" s="68"/>
      <c r="E25" s="69"/>
      <c r="F25" s="69"/>
      <c r="G25" s="68"/>
      <c r="H25" s="68"/>
      <c r="I25" s="68"/>
      <c r="J25" s="68"/>
    </row>
    <row r="26" spans="1:10" ht="12" customHeight="1">
      <c r="A26" s="68"/>
      <c r="B26" s="68"/>
      <c r="C26" s="68"/>
      <c r="D26" s="68"/>
      <c r="E26" s="69"/>
      <c r="F26" s="67"/>
      <c r="G26" s="68"/>
      <c r="H26" s="68"/>
      <c r="I26" s="68"/>
      <c r="J26" s="68"/>
    </row>
    <row r="27" spans="1:10" ht="12" customHeight="1">
      <c r="A27" s="67" t="s">
        <v>53</v>
      </c>
      <c r="B27" s="68"/>
      <c r="C27" s="68"/>
      <c r="D27" s="68"/>
      <c r="E27" s="69"/>
      <c r="F27" s="69"/>
      <c r="G27" s="68"/>
      <c r="H27" s="68"/>
      <c r="I27" s="68"/>
      <c r="J27" s="68"/>
    </row>
    <row r="28" spans="1:10" ht="12" customHeight="1">
      <c r="A28" s="67"/>
      <c r="B28" s="68"/>
      <c r="C28" s="68"/>
      <c r="D28" s="68"/>
      <c r="E28" s="69"/>
      <c r="F28" s="69"/>
      <c r="G28" s="68"/>
      <c r="H28" s="68"/>
      <c r="I28" s="68"/>
      <c r="J28" s="68"/>
    </row>
    <row r="29" spans="1:10" ht="12" customHeight="1">
      <c r="A29" s="67" t="s">
        <v>16</v>
      </c>
      <c r="B29" s="68"/>
      <c r="C29" s="68"/>
      <c r="D29" s="68"/>
      <c r="E29" s="69"/>
      <c r="F29" s="67"/>
      <c r="G29" s="68"/>
      <c r="H29" s="68"/>
      <c r="I29" s="68"/>
      <c r="J29" s="68"/>
    </row>
    <row r="30" spans="1:10" ht="12" customHeight="1">
      <c r="A30" s="67"/>
      <c r="B30" s="68"/>
      <c r="C30" s="68"/>
      <c r="D30" s="68"/>
      <c r="E30" s="69"/>
      <c r="F30" s="67"/>
      <c r="G30" s="68"/>
      <c r="H30" s="68"/>
      <c r="I30" s="68"/>
      <c r="J30" s="68"/>
    </row>
    <row r="31" spans="1:10" ht="12" customHeight="1">
      <c r="A31" s="67" t="s">
        <v>29</v>
      </c>
      <c r="B31" s="68"/>
      <c r="C31" s="68"/>
      <c r="D31" s="68"/>
      <c r="E31" s="69"/>
      <c r="F31" s="67"/>
      <c r="G31" s="68"/>
      <c r="H31" s="68"/>
      <c r="I31" s="68"/>
      <c r="J31" s="68"/>
    </row>
    <row r="32" spans="1:10" ht="12" customHeight="1" thickBot="1">
      <c r="A32" s="65"/>
      <c r="B32" s="65"/>
      <c r="C32" s="65"/>
      <c r="D32" s="65"/>
      <c r="E32" s="65"/>
      <c r="F32" s="65"/>
      <c r="G32" s="65"/>
      <c r="H32" s="65"/>
      <c r="I32" s="65"/>
      <c r="J32" s="65"/>
    </row>
    <row r="33" spans="1:10" ht="12" customHeight="1">
      <c r="A33" s="70"/>
      <c r="B33" s="71" t="s">
        <v>3</v>
      </c>
      <c r="C33" s="72"/>
      <c r="D33" s="72"/>
      <c r="E33" s="71" t="s">
        <v>4</v>
      </c>
      <c r="F33" s="72"/>
      <c r="G33" s="72"/>
      <c r="H33" s="71" t="s">
        <v>5</v>
      </c>
      <c r="I33" s="72"/>
      <c r="J33" s="72"/>
    </row>
    <row r="34" spans="1:10" ht="12" customHeight="1">
      <c r="A34" s="122" t="s">
        <v>17</v>
      </c>
      <c r="B34" s="73" t="s">
        <v>6</v>
      </c>
      <c r="C34" s="74" t="s">
        <v>7</v>
      </c>
      <c r="D34" s="74" t="s">
        <v>5</v>
      </c>
      <c r="E34" s="73" t="s">
        <v>6</v>
      </c>
      <c r="F34" s="74" t="s">
        <v>7</v>
      </c>
      <c r="G34" s="74" t="s">
        <v>5</v>
      </c>
      <c r="H34" s="73" t="s">
        <v>6</v>
      </c>
      <c r="I34" s="74" t="s">
        <v>7</v>
      </c>
      <c r="J34" s="74" t="s">
        <v>5</v>
      </c>
    </row>
    <row r="35" spans="1:10" ht="12" customHeight="1">
      <c r="A35" s="75"/>
      <c r="B35" s="76"/>
      <c r="C35" s="75"/>
      <c r="D35" s="75"/>
      <c r="E35" s="76"/>
      <c r="F35" s="75"/>
      <c r="G35" s="75"/>
      <c r="H35" s="76"/>
      <c r="I35" s="75"/>
      <c r="J35" s="75"/>
    </row>
    <row r="36" spans="1:10" ht="12" customHeight="1">
      <c r="A36" s="65" t="s">
        <v>18</v>
      </c>
      <c r="B36" s="77">
        <f>0</f>
        <v>0</v>
      </c>
      <c r="C36" s="78">
        <f>0</f>
        <v>0</v>
      </c>
      <c r="D36" s="78">
        <f>SUM(B36:C36)</f>
        <v>0</v>
      </c>
      <c r="E36" s="77">
        <v>15</v>
      </c>
      <c r="F36" s="78">
        <v>38</v>
      </c>
      <c r="G36" s="78">
        <f aca="true" t="shared" si="10" ref="G36:G44">SUM(E36:F36)</f>
        <v>53</v>
      </c>
      <c r="H36" s="77">
        <f>SUM(B36,E36)</f>
        <v>15</v>
      </c>
      <c r="I36" s="78">
        <f>SUM(C36,F36)</f>
        <v>38</v>
      </c>
      <c r="J36" s="78">
        <f aca="true" t="shared" si="11" ref="J36:J44">SUM(H36:I36)</f>
        <v>53</v>
      </c>
    </row>
    <row r="37" spans="1:10" ht="12" customHeight="1">
      <c r="A37" s="65" t="s">
        <v>19</v>
      </c>
      <c r="B37" s="77">
        <v>1</v>
      </c>
      <c r="C37" s="78">
        <v>6</v>
      </c>
      <c r="D37" s="78">
        <f aca="true" t="shared" si="12" ref="D37:D44">SUM(B37:C37)</f>
        <v>7</v>
      </c>
      <c r="E37" s="77">
        <v>23</v>
      </c>
      <c r="F37" s="78">
        <v>51</v>
      </c>
      <c r="G37" s="78">
        <f t="shared" si="10"/>
        <v>74</v>
      </c>
      <c r="H37" s="77">
        <f aca="true" t="shared" si="13" ref="H37:I44">SUM(B37,E37)</f>
        <v>24</v>
      </c>
      <c r="I37" s="78">
        <f t="shared" si="13"/>
        <v>57</v>
      </c>
      <c r="J37" s="78">
        <f t="shared" si="11"/>
        <v>81</v>
      </c>
    </row>
    <row r="38" spans="1:10" ht="12" customHeight="1">
      <c r="A38" s="65" t="s">
        <v>20</v>
      </c>
      <c r="B38" s="77">
        <v>12</v>
      </c>
      <c r="C38" s="78">
        <v>54</v>
      </c>
      <c r="D38" s="78">
        <f t="shared" si="12"/>
        <v>66</v>
      </c>
      <c r="E38" s="77">
        <v>24</v>
      </c>
      <c r="F38" s="78">
        <v>70</v>
      </c>
      <c r="G38" s="78">
        <f t="shared" si="10"/>
        <v>94</v>
      </c>
      <c r="H38" s="77">
        <f t="shared" si="13"/>
        <v>36</v>
      </c>
      <c r="I38" s="78">
        <f t="shared" si="13"/>
        <v>124</v>
      </c>
      <c r="J38" s="78">
        <f t="shared" si="11"/>
        <v>160</v>
      </c>
    </row>
    <row r="39" spans="1:10" ht="12" customHeight="1">
      <c r="A39" s="65" t="s">
        <v>21</v>
      </c>
      <c r="B39" s="79">
        <v>11</v>
      </c>
      <c r="C39" s="78">
        <v>54</v>
      </c>
      <c r="D39" s="78">
        <f t="shared" si="12"/>
        <v>65</v>
      </c>
      <c r="E39" s="77">
        <v>8</v>
      </c>
      <c r="F39" s="78">
        <v>70</v>
      </c>
      <c r="G39" s="78">
        <f t="shared" si="10"/>
        <v>78</v>
      </c>
      <c r="H39" s="77">
        <f t="shared" si="13"/>
        <v>19</v>
      </c>
      <c r="I39" s="78">
        <f t="shared" si="13"/>
        <v>124</v>
      </c>
      <c r="J39" s="78">
        <f t="shared" si="11"/>
        <v>143</v>
      </c>
    </row>
    <row r="40" spans="1:10" ht="12" customHeight="1">
      <c r="A40" s="65" t="s">
        <v>22</v>
      </c>
      <c r="B40" s="79">
        <v>8</v>
      </c>
      <c r="C40" s="78">
        <v>60</v>
      </c>
      <c r="D40" s="78">
        <f t="shared" si="12"/>
        <v>68</v>
      </c>
      <c r="E40" s="77">
        <v>8</v>
      </c>
      <c r="F40" s="78">
        <v>67</v>
      </c>
      <c r="G40" s="78">
        <f t="shared" si="10"/>
        <v>75</v>
      </c>
      <c r="H40" s="77">
        <f t="shared" si="13"/>
        <v>16</v>
      </c>
      <c r="I40" s="78">
        <f t="shared" si="13"/>
        <v>127</v>
      </c>
      <c r="J40" s="78">
        <f t="shared" si="11"/>
        <v>143</v>
      </c>
    </row>
    <row r="41" spans="1:10" ht="12" customHeight="1">
      <c r="A41" s="65" t="s">
        <v>23</v>
      </c>
      <c r="B41" s="79">
        <v>5</v>
      </c>
      <c r="C41" s="78">
        <v>81</v>
      </c>
      <c r="D41" s="78">
        <f t="shared" si="12"/>
        <v>86</v>
      </c>
      <c r="E41" s="77">
        <v>8</v>
      </c>
      <c r="F41" s="78">
        <v>66</v>
      </c>
      <c r="G41" s="78">
        <f t="shared" si="10"/>
        <v>74</v>
      </c>
      <c r="H41" s="77">
        <f t="shared" si="13"/>
        <v>13</v>
      </c>
      <c r="I41" s="78">
        <f t="shared" si="13"/>
        <v>147</v>
      </c>
      <c r="J41" s="78">
        <f t="shared" si="11"/>
        <v>160</v>
      </c>
    </row>
    <row r="42" spans="1:10" ht="12" customHeight="1">
      <c r="A42" s="65" t="s">
        <v>24</v>
      </c>
      <c r="B42" s="79">
        <v>9</v>
      </c>
      <c r="C42" s="78">
        <v>103</v>
      </c>
      <c r="D42" s="78">
        <f t="shared" si="12"/>
        <v>112</v>
      </c>
      <c r="E42" s="77">
        <v>7</v>
      </c>
      <c r="F42" s="78">
        <v>34</v>
      </c>
      <c r="G42" s="78">
        <f t="shared" si="10"/>
        <v>41</v>
      </c>
      <c r="H42" s="77">
        <f t="shared" si="13"/>
        <v>16</v>
      </c>
      <c r="I42" s="78">
        <f t="shared" si="13"/>
        <v>137</v>
      </c>
      <c r="J42" s="78">
        <f t="shared" si="11"/>
        <v>153</v>
      </c>
    </row>
    <row r="43" spans="1:10" ht="12" customHeight="1">
      <c r="A43" s="65" t="s">
        <v>25</v>
      </c>
      <c r="B43" s="79">
        <v>25</v>
      </c>
      <c r="C43" s="78">
        <v>164</v>
      </c>
      <c r="D43" s="78">
        <f t="shared" si="12"/>
        <v>189</v>
      </c>
      <c r="E43" s="77">
        <v>7</v>
      </c>
      <c r="F43" s="78">
        <v>11</v>
      </c>
      <c r="G43" s="78">
        <f t="shared" si="10"/>
        <v>18</v>
      </c>
      <c r="H43" s="77">
        <f t="shared" si="13"/>
        <v>32</v>
      </c>
      <c r="I43" s="78">
        <f t="shared" si="13"/>
        <v>175</v>
      </c>
      <c r="J43" s="78">
        <f t="shared" si="11"/>
        <v>207</v>
      </c>
    </row>
    <row r="44" spans="1:10" ht="12" customHeight="1">
      <c r="A44" s="65" t="s">
        <v>26</v>
      </c>
      <c r="B44" s="79">
        <f>10+0</f>
        <v>10</v>
      </c>
      <c r="C44" s="78">
        <f>43+4</f>
        <v>47</v>
      </c>
      <c r="D44" s="80">
        <f t="shared" si="12"/>
        <v>57</v>
      </c>
      <c r="E44" s="77">
        <f>4+2</f>
        <v>6</v>
      </c>
      <c r="F44" s="78">
        <f>6+1</f>
        <v>7</v>
      </c>
      <c r="G44" s="80">
        <f t="shared" si="10"/>
        <v>13</v>
      </c>
      <c r="H44" s="77">
        <f t="shared" si="13"/>
        <v>16</v>
      </c>
      <c r="I44" s="78">
        <f t="shared" si="13"/>
        <v>54</v>
      </c>
      <c r="J44" s="80">
        <f t="shared" si="11"/>
        <v>70</v>
      </c>
    </row>
    <row r="45" spans="1:10" ht="12" customHeight="1">
      <c r="A45" s="81" t="s">
        <v>5</v>
      </c>
      <c r="B45" s="82">
        <f>SUM(B36:B44)</f>
        <v>81</v>
      </c>
      <c r="C45" s="83">
        <f aca="true" t="shared" si="14" ref="C45:J45">SUM(C36:C44)</f>
        <v>569</v>
      </c>
      <c r="D45" s="83">
        <f t="shared" si="14"/>
        <v>650</v>
      </c>
      <c r="E45" s="82">
        <f t="shared" si="14"/>
        <v>106</v>
      </c>
      <c r="F45" s="83">
        <f t="shared" si="14"/>
        <v>414</v>
      </c>
      <c r="G45" s="83">
        <f t="shared" si="14"/>
        <v>520</v>
      </c>
      <c r="H45" s="82">
        <f t="shared" si="14"/>
        <v>187</v>
      </c>
      <c r="I45" s="83">
        <f t="shared" si="14"/>
        <v>983</v>
      </c>
      <c r="J45" s="83">
        <f t="shared" si="14"/>
        <v>1170</v>
      </c>
    </row>
    <row r="47" spans="1:10" ht="12" customHeight="1">
      <c r="A47" s="67" t="s">
        <v>9</v>
      </c>
      <c r="B47" s="68"/>
      <c r="C47" s="68"/>
      <c r="D47" s="68"/>
      <c r="E47" s="69"/>
      <c r="F47" s="67"/>
      <c r="G47" s="68"/>
      <c r="H47" s="68"/>
      <c r="I47" s="68"/>
      <c r="J47" s="68"/>
    </row>
    <row r="48" spans="1:10" ht="12" customHeight="1" thickBot="1">
      <c r="A48" s="65"/>
      <c r="B48" s="65"/>
      <c r="C48" s="65"/>
      <c r="D48" s="65"/>
      <c r="E48" s="65"/>
      <c r="F48" s="65"/>
      <c r="G48" s="65"/>
      <c r="H48" s="65"/>
      <c r="I48" s="65"/>
      <c r="J48" s="65"/>
    </row>
    <row r="49" spans="1:10" ht="12" customHeight="1">
      <c r="A49" s="70"/>
      <c r="B49" s="71" t="s">
        <v>3</v>
      </c>
      <c r="C49" s="72"/>
      <c r="D49" s="72"/>
      <c r="E49" s="71" t="s">
        <v>4</v>
      </c>
      <c r="F49" s="72"/>
      <c r="G49" s="72"/>
      <c r="H49" s="71" t="s">
        <v>5</v>
      </c>
      <c r="I49" s="72"/>
      <c r="J49" s="72"/>
    </row>
    <row r="50" spans="1:10" ht="12" customHeight="1">
      <c r="A50" s="122" t="s">
        <v>17</v>
      </c>
      <c r="B50" s="73" t="s">
        <v>6</v>
      </c>
      <c r="C50" s="74" t="s">
        <v>7</v>
      </c>
      <c r="D50" s="74" t="s">
        <v>5</v>
      </c>
      <c r="E50" s="73" t="s">
        <v>6</v>
      </c>
      <c r="F50" s="74" t="s">
        <v>7</v>
      </c>
      <c r="G50" s="74" t="s">
        <v>5</v>
      </c>
      <c r="H50" s="73" t="s">
        <v>6</v>
      </c>
      <c r="I50" s="74" t="s">
        <v>7</v>
      </c>
      <c r="J50" s="74" t="s">
        <v>5</v>
      </c>
    </row>
    <row r="51" spans="1:10" ht="12" customHeight="1">
      <c r="A51" s="75"/>
      <c r="B51" s="76"/>
      <c r="C51" s="75"/>
      <c r="D51" s="75"/>
      <c r="E51" s="76"/>
      <c r="F51" s="75"/>
      <c r="G51" s="75"/>
      <c r="H51" s="76"/>
      <c r="I51" s="75"/>
      <c r="J51" s="75"/>
    </row>
    <row r="52" spans="1:10" ht="12" customHeight="1">
      <c r="A52" s="65" t="s">
        <v>18</v>
      </c>
      <c r="B52" s="77">
        <f>0</f>
        <v>0</v>
      </c>
      <c r="C52" s="78">
        <f>0</f>
        <v>0</v>
      </c>
      <c r="D52" s="78">
        <f>SUM(B52:C52)</f>
        <v>0</v>
      </c>
      <c r="E52" s="77">
        <v>36</v>
      </c>
      <c r="F52" s="78">
        <v>84</v>
      </c>
      <c r="G52" s="78">
        <f aca="true" t="shared" si="15" ref="G52:G60">SUM(E52:F52)</f>
        <v>120</v>
      </c>
      <c r="H52" s="77">
        <f>SUM(B52,E52)</f>
        <v>36</v>
      </c>
      <c r="I52" s="78">
        <f>SUM(C52,F52)</f>
        <v>84</v>
      </c>
      <c r="J52" s="78">
        <f aca="true" t="shared" si="16" ref="J52:J60">SUM(H52:I52)</f>
        <v>120</v>
      </c>
    </row>
    <row r="53" spans="1:10" ht="12" customHeight="1">
      <c r="A53" s="65" t="s">
        <v>19</v>
      </c>
      <c r="B53" s="77">
        <v>9</v>
      </c>
      <c r="C53" s="78">
        <v>40</v>
      </c>
      <c r="D53" s="78">
        <f aca="true" t="shared" si="17" ref="D53:D60">SUM(B53:C53)</f>
        <v>49</v>
      </c>
      <c r="E53" s="77">
        <v>31</v>
      </c>
      <c r="F53" s="78">
        <v>150</v>
      </c>
      <c r="G53" s="78">
        <f t="shared" si="15"/>
        <v>181</v>
      </c>
      <c r="H53" s="77">
        <f aca="true" t="shared" si="18" ref="H53:I60">SUM(B53,E53)</f>
        <v>40</v>
      </c>
      <c r="I53" s="78">
        <f t="shared" si="18"/>
        <v>190</v>
      </c>
      <c r="J53" s="78">
        <f t="shared" si="16"/>
        <v>230</v>
      </c>
    </row>
    <row r="54" spans="1:10" ht="12" customHeight="1">
      <c r="A54" s="65" t="s">
        <v>20</v>
      </c>
      <c r="B54" s="77">
        <v>36</v>
      </c>
      <c r="C54" s="78">
        <v>234</v>
      </c>
      <c r="D54" s="78">
        <f t="shared" si="17"/>
        <v>270</v>
      </c>
      <c r="E54" s="77">
        <v>34</v>
      </c>
      <c r="F54" s="78">
        <v>135</v>
      </c>
      <c r="G54" s="78">
        <f t="shared" si="15"/>
        <v>169</v>
      </c>
      <c r="H54" s="77">
        <f t="shared" si="18"/>
        <v>70</v>
      </c>
      <c r="I54" s="78">
        <f t="shared" si="18"/>
        <v>369</v>
      </c>
      <c r="J54" s="78">
        <f t="shared" si="16"/>
        <v>439</v>
      </c>
    </row>
    <row r="55" spans="1:10" ht="12" customHeight="1">
      <c r="A55" s="65" t="s">
        <v>21</v>
      </c>
      <c r="B55" s="79">
        <v>19</v>
      </c>
      <c r="C55" s="78">
        <v>210</v>
      </c>
      <c r="D55" s="78">
        <f t="shared" si="17"/>
        <v>229</v>
      </c>
      <c r="E55" s="77">
        <v>16</v>
      </c>
      <c r="F55" s="78">
        <v>117</v>
      </c>
      <c r="G55" s="78">
        <f t="shared" si="15"/>
        <v>133</v>
      </c>
      <c r="H55" s="77">
        <f t="shared" si="18"/>
        <v>35</v>
      </c>
      <c r="I55" s="78">
        <f t="shared" si="18"/>
        <v>327</v>
      </c>
      <c r="J55" s="78">
        <f t="shared" si="16"/>
        <v>362</v>
      </c>
    </row>
    <row r="56" spans="1:10" ht="12" customHeight="1">
      <c r="A56" s="65" t="s">
        <v>22</v>
      </c>
      <c r="B56" s="79">
        <v>19</v>
      </c>
      <c r="C56" s="78">
        <v>283</v>
      </c>
      <c r="D56" s="78">
        <f t="shared" si="17"/>
        <v>302</v>
      </c>
      <c r="E56" s="77">
        <v>13</v>
      </c>
      <c r="F56" s="78">
        <v>176</v>
      </c>
      <c r="G56" s="78">
        <f t="shared" si="15"/>
        <v>189</v>
      </c>
      <c r="H56" s="77">
        <f t="shared" si="18"/>
        <v>32</v>
      </c>
      <c r="I56" s="78">
        <f t="shared" si="18"/>
        <v>459</v>
      </c>
      <c r="J56" s="78">
        <f t="shared" si="16"/>
        <v>491</v>
      </c>
    </row>
    <row r="57" spans="1:10" ht="12" customHeight="1">
      <c r="A57" s="65" t="s">
        <v>23</v>
      </c>
      <c r="B57" s="79">
        <v>17</v>
      </c>
      <c r="C57" s="78">
        <v>549</v>
      </c>
      <c r="D57" s="78">
        <f t="shared" si="17"/>
        <v>566</v>
      </c>
      <c r="E57" s="77">
        <v>10</v>
      </c>
      <c r="F57" s="78">
        <v>138</v>
      </c>
      <c r="G57" s="78">
        <f t="shared" si="15"/>
        <v>148</v>
      </c>
      <c r="H57" s="77">
        <f t="shared" si="18"/>
        <v>27</v>
      </c>
      <c r="I57" s="78">
        <f t="shared" si="18"/>
        <v>687</v>
      </c>
      <c r="J57" s="78">
        <f t="shared" si="16"/>
        <v>714</v>
      </c>
    </row>
    <row r="58" spans="1:10" ht="12" customHeight="1">
      <c r="A58" s="65" t="s">
        <v>24</v>
      </c>
      <c r="B58" s="79">
        <v>41</v>
      </c>
      <c r="C58" s="78">
        <v>609</v>
      </c>
      <c r="D58" s="78">
        <f t="shared" si="17"/>
        <v>650</v>
      </c>
      <c r="E58" s="77">
        <v>11</v>
      </c>
      <c r="F58" s="78">
        <v>76</v>
      </c>
      <c r="G58" s="78">
        <f t="shared" si="15"/>
        <v>87</v>
      </c>
      <c r="H58" s="77">
        <f t="shared" si="18"/>
        <v>52</v>
      </c>
      <c r="I58" s="78">
        <f t="shared" si="18"/>
        <v>685</v>
      </c>
      <c r="J58" s="78">
        <f t="shared" si="16"/>
        <v>737</v>
      </c>
    </row>
    <row r="59" spans="1:10" ht="12" customHeight="1">
      <c r="A59" s="65" t="s">
        <v>25</v>
      </c>
      <c r="B59" s="79">
        <v>24</v>
      </c>
      <c r="C59" s="78">
        <v>327</v>
      </c>
      <c r="D59" s="78">
        <f t="shared" si="17"/>
        <v>351</v>
      </c>
      <c r="E59" s="77">
        <v>6</v>
      </c>
      <c r="F59" s="78">
        <v>26</v>
      </c>
      <c r="G59" s="78">
        <f t="shared" si="15"/>
        <v>32</v>
      </c>
      <c r="H59" s="77">
        <f t="shared" si="18"/>
        <v>30</v>
      </c>
      <c r="I59" s="78">
        <f t="shared" si="18"/>
        <v>353</v>
      </c>
      <c r="J59" s="78">
        <f t="shared" si="16"/>
        <v>383</v>
      </c>
    </row>
    <row r="60" spans="1:10" ht="12" customHeight="1">
      <c r="A60" s="65" t="s">
        <v>26</v>
      </c>
      <c r="B60" s="79">
        <v>4</v>
      </c>
      <c r="C60" s="78">
        <v>75</v>
      </c>
      <c r="D60" s="80">
        <f t="shared" si="17"/>
        <v>79</v>
      </c>
      <c r="E60" s="77">
        <f>1+1</f>
        <v>2</v>
      </c>
      <c r="F60" s="78">
        <f>6+4</f>
        <v>10</v>
      </c>
      <c r="G60" s="80">
        <f t="shared" si="15"/>
        <v>12</v>
      </c>
      <c r="H60" s="77">
        <f t="shared" si="18"/>
        <v>6</v>
      </c>
      <c r="I60" s="78">
        <f t="shared" si="18"/>
        <v>85</v>
      </c>
      <c r="J60" s="80">
        <f t="shared" si="16"/>
        <v>91</v>
      </c>
    </row>
    <row r="61" spans="1:10" ht="12" customHeight="1">
      <c r="A61" s="81" t="s">
        <v>5</v>
      </c>
      <c r="B61" s="82">
        <f>SUM(B52:B60)</f>
        <v>169</v>
      </c>
      <c r="C61" s="83">
        <f aca="true" t="shared" si="19" ref="C61:J61">SUM(C52:C60)</f>
        <v>2327</v>
      </c>
      <c r="D61" s="83">
        <f t="shared" si="19"/>
        <v>2496</v>
      </c>
      <c r="E61" s="82">
        <f t="shared" si="19"/>
        <v>159</v>
      </c>
      <c r="F61" s="83">
        <f t="shared" si="19"/>
        <v>912</v>
      </c>
      <c r="G61" s="83">
        <f t="shared" si="19"/>
        <v>1071</v>
      </c>
      <c r="H61" s="82">
        <f t="shared" si="19"/>
        <v>328</v>
      </c>
      <c r="I61" s="83">
        <f t="shared" si="19"/>
        <v>3239</v>
      </c>
      <c r="J61" s="83">
        <f t="shared" si="19"/>
        <v>3567</v>
      </c>
    </row>
    <row r="63" spans="1:10" ht="12" customHeight="1">
      <c r="A63" s="67" t="s">
        <v>10</v>
      </c>
      <c r="B63" s="68"/>
      <c r="C63" s="68"/>
      <c r="D63" s="68"/>
      <c r="E63" s="69"/>
      <c r="F63" s="67"/>
      <c r="G63" s="68"/>
      <c r="H63" s="68"/>
      <c r="I63" s="68"/>
      <c r="J63" s="68"/>
    </row>
    <row r="64" spans="1:10" ht="12" customHeight="1" thickBot="1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1:10" ht="12" customHeight="1">
      <c r="A65" s="70"/>
      <c r="B65" s="71" t="s">
        <v>3</v>
      </c>
      <c r="C65" s="72"/>
      <c r="D65" s="72"/>
      <c r="E65" s="71" t="s">
        <v>4</v>
      </c>
      <c r="F65" s="72"/>
      <c r="G65" s="72"/>
      <c r="H65" s="71" t="s">
        <v>5</v>
      </c>
      <c r="I65" s="72"/>
      <c r="J65" s="72"/>
    </row>
    <row r="66" spans="1:10" ht="12" customHeight="1">
      <c r="A66" s="122" t="s">
        <v>17</v>
      </c>
      <c r="B66" s="73" t="s">
        <v>6</v>
      </c>
      <c r="C66" s="74" t="s">
        <v>7</v>
      </c>
      <c r="D66" s="74" t="s">
        <v>5</v>
      </c>
      <c r="E66" s="73" t="s">
        <v>6</v>
      </c>
      <c r="F66" s="74" t="s">
        <v>7</v>
      </c>
      <c r="G66" s="74" t="s">
        <v>5</v>
      </c>
      <c r="H66" s="73" t="s">
        <v>6</v>
      </c>
      <c r="I66" s="74" t="s">
        <v>7</v>
      </c>
      <c r="J66" s="74" t="s">
        <v>5</v>
      </c>
    </row>
    <row r="67" spans="1:10" ht="12" customHeight="1">
      <c r="A67" s="75"/>
      <c r="B67" s="76"/>
      <c r="C67" s="75"/>
      <c r="D67" s="75"/>
      <c r="E67" s="76"/>
      <c r="F67" s="75"/>
      <c r="G67" s="75"/>
      <c r="H67" s="76"/>
      <c r="I67" s="75"/>
      <c r="J67" s="75"/>
    </row>
    <row r="68" spans="1:10" ht="12" customHeight="1">
      <c r="A68" s="65" t="s">
        <v>18</v>
      </c>
      <c r="B68" s="77">
        <f>0</f>
        <v>0</v>
      </c>
      <c r="C68" s="78">
        <f>0</f>
        <v>0</v>
      </c>
      <c r="D68" s="78">
        <f>SUM(B68:C68)</f>
        <v>0</v>
      </c>
      <c r="E68" s="77">
        <f>0</f>
        <v>0</v>
      </c>
      <c r="F68" s="78">
        <f>0</f>
        <v>0</v>
      </c>
      <c r="G68" s="78">
        <f aca="true" t="shared" si="20" ref="G68:G76">SUM(E68:F68)</f>
        <v>0</v>
      </c>
      <c r="H68" s="77">
        <f>SUM(B68,E68)</f>
        <v>0</v>
      </c>
      <c r="I68" s="78">
        <f>SUM(C68,F68)</f>
        <v>0</v>
      </c>
      <c r="J68" s="78">
        <f aca="true" t="shared" si="21" ref="J68:J76">SUM(H68:I68)</f>
        <v>0</v>
      </c>
    </row>
    <row r="69" spans="1:10" ht="12" customHeight="1">
      <c r="A69" s="65" t="s">
        <v>19</v>
      </c>
      <c r="B69" s="77">
        <f>0</f>
        <v>0</v>
      </c>
      <c r="C69" s="78">
        <f>0</f>
        <v>0</v>
      </c>
      <c r="D69" s="78">
        <f aca="true" t="shared" si="22" ref="D69:D76">SUM(B69:C69)</f>
        <v>0</v>
      </c>
      <c r="E69" s="77">
        <f>0</f>
        <v>0</v>
      </c>
      <c r="F69" s="78">
        <f>0</f>
        <v>0</v>
      </c>
      <c r="G69" s="78">
        <f t="shared" si="20"/>
        <v>0</v>
      </c>
      <c r="H69" s="77">
        <f aca="true" t="shared" si="23" ref="H69:I76">SUM(B69,E69)</f>
        <v>0</v>
      </c>
      <c r="I69" s="78">
        <f t="shared" si="23"/>
        <v>0</v>
      </c>
      <c r="J69" s="78">
        <f t="shared" si="21"/>
        <v>0</v>
      </c>
    </row>
    <row r="70" spans="1:10" ht="12" customHeight="1">
      <c r="A70" s="65" t="s">
        <v>20</v>
      </c>
      <c r="B70" s="77">
        <f>0</f>
        <v>0</v>
      </c>
      <c r="C70" s="78">
        <f>0</f>
        <v>0</v>
      </c>
      <c r="D70" s="78">
        <f t="shared" si="22"/>
        <v>0</v>
      </c>
      <c r="E70" s="77">
        <f>0</f>
        <v>0</v>
      </c>
      <c r="F70" s="78">
        <f>1</f>
        <v>1</v>
      </c>
      <c r="G70" s="78">
        <f t="shared" si="20"/>
        <v>1</v>
      </c>
      <c r="H70" s="77">
        <f t="shared" si="23"/>
        <v>0</v>
      </c>
      <c r="I70" s="78">
        <f t="shared" si="23"/>
        <v>1</v>
      </c>
      <c r="J70" s="78">
        <f t="shared" si="21"/>
        <v>1</v>
      </c>
    </row>
    <row r="71" spans="1:10" ht="12" customHeight="1">
      <c r="A71" s="65" t="s">
        <v>21</v>
      </c>
      <c r="B71" s="79">
        <f>0</f>
        <v>0</v>
      </c>
      <c r="C71" s="78">
        <f>1</f>
        <v>1</v>
      </c>
      <c r="D71" s="78">
        <f t="shared" si="22"/>
        <v>1</v>
      </c>
      <c r="E71" s="77">
        <f>0</f>
        <v>0</v>
      </c>
      <c r="F71" s="78">
        <f>0</f>
        <v>0</v>
      </c>
      <c r="G71" s="78">
        <f t="shared" si="20"/>
        <v>0</v>
      </c>
      <c r="H71" s="77">
        <f t="shared" si="23"/>
        <v>0</v>
      </c>
      <c r="I71" s="78">
        <f t="shared" si="23"/>
        <v>1</v>
      </c>
      <c r="J71" s="78">
        <f t="shared" si="21"/>
        <v>1</v>
      </c>
    </row>
    <row r="72" spans="1:10" ht="12" customHeight="1">
      <c r="A72" s="65" t="s">
        <v>22</v>
      </c>
      <c r="B72" s="79">
        <f>0</f>
        <v>0</v>
      </c>
      <c r="C72" s="78">
        <f>0</f>
        <v>0</v>
      </c>
      <c r="D72" s="78">
        <f t="shared" si="22"/>
        <v>0</v>
      </c>
      <c r="E72" s="77">
        <f>0</f>
        <v>0</v>
      </c>
      <c r="F72" s="78">
        <f>0</f>
        <v>0</v>
      </c>
      <c r="G72" s="78">
        <f t="shared" si="20"/>
        <v>0</v>
      </c>
      <c r="H72" s="77">
        <f t="shared" si="23"/>
        <v>0</v>
      </c>
      <c r="I72" s="78">
        <f t="shared" si="23"/>
        <v>0</v>
      </c>
      <c r="J72" s="78">
        <f t="shared" si="21"/>
        <v>0</v>
      </c>
    </row>
    <row r="73" spans="1:10" ht="12" customHeight="1">
      <c r="A73" s="65" t="s">
        <v>23</v>
      </c>
      <c r="B73" s="79">
        <f>0</f>
        <v>0</v>
      </c>
      <c r="C73" s="78">
        <f>2</f>
        <v>2</v>
      </c>
      <c r="D73" s="78">
        <f t="shared" si="22"/>
        <v>2</v>
      </c>
      <c r="E73" s="77">
        <f>0</f>
        <v>0</v>
      </c>
      <c r="F73" s="78">
        <f>0</f>
        <v>0</v>
      </c>
      <c r="G73" s="78">
        <f t="shared" si="20"/>
        <v>0</v>
      </c>
      <c r="H73" s="77">
        <f t="shared" si="23"/>
        <v>0</v>
      </c>
      <c r="I73" s="78">
        <f t="shared" si="23"/>
        <v>2</v>
      </c>
      <c r="J73" s="78">
        <f t="shared" si="21"/>
        <v>2</v>
      </c>
    </row>
    <row r="74" spans="1:10" ht="12" customHeight="1">
      <c r="A74" s="65" t="s">
        <v>24</v>
      </c>
      <c r="B74" s="79">
        <f>0</f>
        <v>0</v>
      </c>
      <c r="C74" s="78">
        <f>0</f>
        <v>0</v>
      </c>
      <c r="D74" s="78">
        <f t="shared" si="22"/>
        <v>0</v>
      </c>
      <c r="E74" s="77">
        <f>0</f>
        <v>0</v>
      </c>
      <c r="F74" s="78">
        <f>0</f>
        <v>0</v>
      </c>
      <c r="G74" s="78">
        <f t="shared" si="20"/>
        <v>0</v>
      </c>
      <c r="H74" s="77">
        <f t="shared" si="23"/>
        <v>0</v>
      </c>
      <c r="I74" s="78">
        <f t="shared" si="23"/>
        <v>0</v>
      </c>
      <c r="J74" s="78">
        <f t="shared" si="21"/>
        <v>0</v>
      </c>
    </row>
    <row r="75" spans="1:10" ht="12" customHeight="1">
      <c r="A75" s="65" t="s">
        <v>25</v>
      </c>
      <c r="B75" s="79">
        <f>0</f>
        <v>0</v>
      </c>
      <c r="C75" s="78">
        <f>0</f>
        <v>0</v>
      </c>
      <c r="D75" s="78">
        <f t="shared" si="22"/>
        <v>0</v>
      </c>
      <c r="E75" s="77">
        <f>0</f>
        <v>0</v>
      </c>
      <c r="F75" s="78">
        <f>0</f>
        <v>0</v>
      </c>
      <c r="G75" s="78">
        <f t="shared" si="20"/>
        <v>0</v>
      </c>
      <c r="H75" s="77">
        <f t="shared" si="23"/>
        <v>0</v>
      </c>
      <c r="I75" s="78">
        <f t="shared" si="23"/>
        <v>0</v>
      </c>
      <c r="J75" s="78">
        <f t="shared" si="21"/>
        <v>0</v>
      </c>
    </row>
    <row r="76" spans="1:10" ht="12" customHeight="1">
      <c r="A76" s="65" t="s">
        <v>26</v>
      </c>
      <c r="B76" s="79">
        <f>0</f>
        <v>0</v>
      </c>
      <c r="C76" s="78">
        <f>0</f>
        <v>0</v>
      </c>
      <c r="D76" s="80">
        <f t="shared" si="22"/>
        <v>0</v>
      </c>
      <c r="E76" s="77">
        <f>0</f>
        <v>0</v>
      </c>
      <c r="F76" s="78">
        <f>0</f>
        <v>0</v>
      </c>
      <c r="G76" s="80">
        <f t="shared" si="20"/>
        <v>0</v>
      </c>
      <c r="H76" s="77">
        <f t="shared" si="23"/>
        <v>0</v>
      </c>
      <c r="I76" s="78">
        <f t="shared" si="23"/>
        <v>0</v>
      </c>
      <c r="J76" s="80">
        <f t="shared" si="21"/>
        <v>0</v>
      </c>
    </row>
    <row r="77" spans="1:10" ht="12" customHeight="1">
      <c r="A77" s="81" t="s">
        <v>5</v>
      </c>
      <c r="B77" s="82">
        <f>SUM(B68:B76)</f>
        <v>0</v>
      </c>
      <c r="C77" s="83">
        <f aca="true" t="shared" si="24" ref="C77:J77">SUM(C68:C76)</f>
        <v>3</v>
      </c>
      <c r="D77" s="83">
        <f t="shared" si="24"/>
        <v>3</v>
      </c>
      <c r="E77" s="82">
        <f t="shared" si="24"/>
        <v>0</v>
      </c>
      <c r="F77" s="83">
        <f t="shared" si="24"/>
        <v>1</v>
      </c>
      <c r="G77" s="83">
        <f t="shared" si="24"/>
        <v>1</v>
      </c>
      <c r="H77" s="82">
        <f t="shared" si="24"/>
        <v>0</v>
      </c>
      <c r="I77" s="83">
        <f t="shared" si="24"/>
        <v>4</v>
      </c>
      <c r="J77" s="83">
        <f t="shared" si="24"/>
        <v>4</v>
      </c>
    </row>
    <row r="79" spans="1:10" ht="12" customHeight="1">
      <c r="A79" s="67" t="s">
        <v>11</v>
      </c>
      <c r="B79" s="68"/>
      <c r="C79" s="68"/>
      <c r="D79" s="68"/>
      <c r="E79" s="69"/>
      <c r="F79" s="67"/>
      <c r="G79" s="68"/>
      <c r="H79" s="68"/>
      <c r="I79" s="68"/>
      <c r="J79" s="68"/>
    </row>
    <row r="80" spans="1:10" ht="12" customHeight="1" thickBot="1">
      <c r="A80" s="65"/>
      <c r="B80" s="65"/>
      <c r="C80" s="65"/>
      <c r="D80" s="65"/>
      <c r="E80" s="65"/>
      <c r="F80" s="65"/>
      <c r="G80" s="65"/>
      <c r="H80" s="65"/>
      <c r="I80" s="65"/>
      <c r="J80" s="65"/>
    </row>
    <row r="81" spans="1:10" ht="12" customHeight="1">
      <c r="A81" s="70"/>
      <c r="B81" s="71" t="s">
        <v>3</v>
      </c>
      <c r="C81" s="72"/>
      <c r="D81" s="72"/>
      <c r="E81" s="71" t="s">
        <v>4</v>
      </c>
      <c r="F81" s="72"/>
      <c r="G81" s="72"/>
      <c r="H81" s="71" t="s">
        <v>5</v>
      </c>
      <c r="I81" s="72"/>
      <c r="J81" s="72"/>
    </row>
    <row r="82" spans="1:10" ht="12" customHeight="1">
      <c r="A82" s="122" t="s">
        <v>17</v>
      </c>
      <c r="B82" s="73" t="s">
        <v>6</v>
      </c>
      <c r="C82" s="74" t="s">
        <v>7</v>
      </c>
      <c r="D82" s="74" t="s">
        <v>5</v>
      </c>
      <c r="E82" s="73" t="s">
        <v>6</v>
      </c>
      <c r="F82" s="74" t="s">
        <v>7</v>
      </c>
      <c r="G82" s="74" t="s">
        <v>5</v>
      </c>
      <c r="H82" s="73" t="s">
        <v>6</v>
      </c>
      <c r="I82" s="74" t="s">
        <v>7</v>
      </c>
      <c r="J82" s="74" t="s">
        <v>5</v>
      </c>
    </row>
    <row r="83" spans="1:10" ht="12" customHeight="1">
      <c r="A83" s="75"/>
      <c r="B83" s="76"/>
      <c r="C83" s="75"/>
      <c r="D83" s="75"/>
      <c r="E83" s="76"/>
      <c r="F83" s="75"/>
      <c r="G83" s="75"/>
      <c r="H83" s="76"/>
      <c r="I83" s="75"/>
      <c r="J83" s="75"/>
    </row>
    <row r="84" spans="1:10" ht="12" customHeight="1">
      <c r="A84" s="65" t="s">
        <v>18</v>
      </c>
      <c r="B84" s="77">
        <f>0</f>
        <v>0</v>
      </c>
      <c r="C84" s="78">
        <f>0</f>
        <v>0</v>
      </c>
      <c r="D84" s="78">
        <f>SUM(B84:C84)</f>
        <v>0</v>
      </c>
      <c r="E84" s="77">
        <v>11</v>
      </c>
      <c r="F84" s="78">
        <v>35</v>
      </c>
      <c r="G84" s="78">
        <f aca="true" t="shared" si="25" ref="G84:G92">SUM(E84:F84)</f>
        <v>46</v>
      </c>
      <c r="H84" s="77">
        <f>SUM(B84,E84)</f>
        <v>11</v>
      </c>
      <c r="I84" s="78">
        <f>SUM(C84,F84)</f>
        <v>35</v>
      </c>
      <c r="J84" s="78">
        <f aca="true" t="shared" si="26" ref="J84:J92">SUM(H84:I84)</f>
        <v>46</v>
      </c>
    </row>
    <row r="85" spans="1:10" ht="12" customHeight="1">
      <c r="A85" s="65" t="s">
        <v>19</v>
      </c>
      <c r="B85" s="77">
        <v>5</v>
      </c>
      <c r="C85" s="78">
        <v>28</v>
      </c>
      <c r="D85" s="78">
        <f aca="true" t="shared" si="27" ref="D85:D92">SUM(B85:C85)</f>
        <v>33</v>
      </c>
      <c r="E85" s="77">
        <v>20</v>
      </c>
      <c r="F85" s="78">
        <v>79</v>
      </c>
      <c r="G85" s="78">
        <f t="shared" si="25"/>
        <v>99</v>
      </c>
      <c r="H85" s="77">
        <f aca="true" t="shared" si="28" ref="H85:I92">SUM(B85,E85)</f>
        <v>25</v>
      </c>
      <c r="I85" s="78">
        <f t="shared" si="28"/>
        <v>107</v>
      </c>
      <c r="J85" s="78">
        <f t="shared" si="26"/>
        <v>132</v>
      </c>
    </row>
    <row r="86" spans="1:10" ht="12" customHeight="1">
      <c r="A86" s="65" t="s">
        <v>20</v>
      </c>
      <c r="B86" s="77">
        <v>18</v>
      </c>
      <c r="C86" s="78">
        <v>98</v>
      </c>
      <c r="D86" s="78">
        <f t="shared" si="27"/>
        <v>116</v>
      </c>
      <c r="E86" s="77">
        <v>29</v>
      </c>
      <c r="F86" s="78">
        <v>63</v>
      </c>
      <c r="G86" s="78">
        <f t="shared" si="25"/>
        <v>92</v>
      </c>
      <c r="H86" s="77">
        <f t="shared" si="28"/>
        <v>47</v>
      </c>
      <c r="I86" s="78">
        <f t="shared" si="28"/>
        <v>161</v>
      </c>
      <c r="J86" s="78">
        <f t="shared" si="26"/>
        <v>208</v>
      </c>
    </row>
    <row r="87" spans="1:10" ht="12" customHeight="1">
      <c r="A87" s="65" t="s">
        <v>21</v>
      </c>
      <c r="B87" s="79">
        <v>10</v>
      </c>
      <c r="C87" s="78">
        <v>85</v>
      </c>
      <c r="D87" s="78">
        <f t="shared" si="27"/>
        <v>95</v>
      </c>
      <c r="E87" s="77">
        <v>13</v>
      </c>
      <c r="F87" s="78">
        <v>59</v>
      </c>
      <c r="G87" s="78">
        <f t="shared" si="25"/>
        <v>72</v>
      </c>
      <c r="H87" s="77">
        <f t="shared" si="28"/>
        <v>23</v>
      </c>
      <c r="I87" s="78">
        <f t="shared" si="28"/>
        <v>144</v>
      </c>
      <c r="J87" s="78">
        <f t="shared" si="26"/>
        <v>167</v>
      </c>
    </row>
    <row r="88" spans="1:10" ht="12" customHeight="1">
      <c r="A88" s="65" t="s">
        <v>22</v>
      </c>
      <c r="B88" s="79">
        <v>12</v>
      </c>
      <c r="C88" s="78">
        <v>129</v>
      </c>
      <c r="D88" s="78">
        <f t="shared" si="27"/>
        <v>141</v>
      </c>
      <c r="E88" s="77">
        <v>4</v>
      </c>
      <c r="F88" s="78">
        <v>53</v>
      </c>
      <c r="G88" s="78">
        <f t="shared" si="25"/>
        <v>57</v>
      </c>
      <c r="H88" s="77">
        <f t="shared" si="28"/>
        <v>16</v>
      </c>
      <c r="I88" s="78">
        <f t="shared" si="28"/>
        <v>182</v>
      </c>
      <c r="J88" s="78">
        <f t="shared" si="26"/>
        <v>198</v>
      </c>
    </row>
    <row r="89" spans="1:10" ht="12" customHeight="1">
      <c r="A89" s="65" t="s">
        <v>23</v>
      </c>
      <c r="B89" s="79">
        <v>12</v>
      </c>
      <c r="C89" s="78">
        <v>213</v>
      </c>
      <c r="D89" s="78">
        <f t="shared" si="27"/>
        <v>225</v>
      </c>
      <c r="E89" s="77">
        <v>2</v>
      </c>
      <c r="F89" s="78">
        <v>53</v>
      </c>
      <c r="G89" s="78">
        <f t="shared" si="25"/>
        <v>55</v>
      </c>
      <c r="H89" s="77">
        <f t="shared" si="28"/>
        <v>14</v>
      </c>
      <c r="I89" s="78">
        <f t="shared" si="28"/>
        <v>266</v>
      </c>
      <c r="J89" s="78">
        <f t="shared" si="26"/>
        <v>280</v>
      </c>
    </row>
    <row r="90" spans="1:10" ht="12" customHeight="1">
      <c r="A90" s="65" t="s">
        <v>24</v>
      </c>
      <c r="B90" s="79">
        <v>14</v>
      </c>
      <c r="C90" s="78">
        <v>234</v>
      </c>
      <c r="D90" s="78">
        <f t="shared" si="27"/>
        <v>248</v>
      </c>
      <c r="E90" s="77">
        <v>3</v>
      </c>
      <c r="F90" s="78">
        <v>29</v>
      </c>
      <c r="G90" s="78">
        <f t="shared" si="25"/>
        <v>32</v>
      </c>
      <c r="H90" s="77">
        <f t="shared" si="28"/>
        <v>17</v>
      </c>
      <c r="I90" s="78">
        <f t="shared" si="28"/>
        <v>263</v>
      </c>
      <c r="J90" s="78">
        <f t="shared" si="26"/>
        <v>280</v>
      </c>
    </row>
    <row r="91" spans="1:10" ht="12" customHeight="1">
      <c r="A91" s="65" t="s">
        <v>25</v>
      </c>
      <c r="B91" s="79">
        <v>14</v>
      </c>
      <c r="C91" s="78">
        <v>112</v>
      </c>
      <c r="D91" s="78">
        <f t="shared" si="27"/>
        <v>126</v>
      </c>
      <c r="E91" s="77">
        <v>2</v>
      </c>
      <c r="F91" s="78">
        <v>4</v>
      </c>
      <c r="G91" s="78">
        <f t="shared" si="25"/>
        <v>6</v>
      </c>
      <c r="H91" s="77">
        <f t="shared" si="28"/>
        <v>16</v>
      </c>
      <c r="I91" s="78">
        <f t="shared" si="28"/>
        <v>116</v>
      </c>
      <c r="J91" s="78">
        <f t="shared" si="26"/>
        <v>132</v>
      </c>
    </row>
    <row r="92" spans="1:10" ht="12" customHeight="1">
      <c r="A92" s="65" t="s">
        <v>26</v>
      </c>
      <c r="B92" s="79">
        <f>2+0</f>
        <v>2</v>
      </c>
      <c r="C92" s="78">
        <f>20+3</f>
        <v>23</v>
      </c>
      <c r="D92" s="80">
        <f t="shared" si="27"/>
        <v>25</v>
      </c>
      <c r="E92" s="77">
        <v>1</v>
      </c>
      <c r="F92" s="78">
        <f>0</f>
        <v>0</v>
      </c>
      <c r="G92" s="80">
        <f t="shared" si="25"/>
        <v>1</v>
      </c>
      <c r="H92" s="77">
        <f t="shared" si="28"/>
        <v>3</v>
      </c>
      <c r="I92" s="78">
        <f t="shared" si="28"/>
        <v>23</v>
      </c>
      <c r="J92" s="80">
        <f t="shared" si="26"/>
        <v>26</v>
      </c>
    </row>
    <row r="93" spans="1:10" ht="12" customHeight="1">
      <c r="A93" s="81" t="s">
        <v>5</v>
      </c>
      <c r="B93" s="82">
        <f>SUM(B84:B92)</f>
        <v>87</v>
      </c>
      <c r="C93" s="83">
        <f aca="true" t="shared" si="29" ref="C93:J93">SUM(C84:C92)</f>
        <v>922</v>
      </c>
      <c r="D93" s="83">
        <f t="shared" si="29"/>
        <v>1009</v>
      </c>
      <c r="E93" s="82">
        <f t="shared" si="29"/>
        <v>85</v>
      </c>
      <c r="F93" s="83">
        <f t="shared" si="29"/>
        <v>375</v>
      </c>
      <c r="G93" s="83">
        <f t="shared" si="29"/>
        <v>460</v>
      </c>
      <c r="H93" s="82">
        <f t="shared" si="29"/>
        <v>172</v>
      </c>
      <c r="I93" s="83">
        <f t="shared" si="29"/>
        <v>1297</v>
      </c>
      <c r="J93" s="83">
        <f t="shared" si="29"/>
        <v>1469</v>
      </c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2" horizontalDpi="300" verticalDpi="300" orientation="portrait" paperSize="9" scale="80" r:id="rId1"/>
  <headerFooter alignWithMargins="0">
    <oddFooter>&amp;R&amp;A</oddFooter>
  </headerFooter>
  <rowBreaks count="1" manualBreakCount="1">
    <brk id="2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L36" sqref="L36"/>
    </sheetView>
  </sheetViews>
  <sheetFormatPr defaultColWidth="9.140625" defaultRowHeight="12" customHeight="1"/>
  <cols>
    <col min="1" max="1" width="34.57421875" style="90" customWidth="1"/>
    <col min="2" max="16384" width="9.140625" style="90" customWidth="1"/>
  </cols>
  <sheetData>
    <row r="1" spans="1:10" s="86" customFormat="1" ht="12" customHeight="1">
      <c r="A1" s="84" t="s">
        <v>51</v>
      </c>
      <c r="B1" s="85"/>
      <c r="C1" s="85"/>
      <c r="D1" s="85"/>
      <c r="E1" s="85"/>
      <c r="F1" s="85"/>
      <c r="G1" s="85"/>
      <c r="H1" s="85"/>
      <c r="I1" s="85"/>
      <c r="J1" s="85"/>
    </row>
    <row r="2" spans="1:10" s="86" customFormat="1" ht="12" customHeight="1">
      <c r="A2" s="67" t="s">
        <v>28</v>
      </c>
      <c r="B2" s="88"/>
      <c r="C2" s="88"/>
      <c r="D2" s="88"/>
      <c r="E2" s="89"/>
      <c r="F2" s="89"/>
      <c r="G2" s="88"/>
      <c r="H2" s="88"/>
      <c r="I2" s="88"/>
      <c r="J2" s="88"/>
    </row>
    <row r="3" spans="1:10" s="86" customFormat="1" ht="12" customHeight="1">
      <c r="A3" s="88"/>
      <c r="B3" s="88"/>
      <c r="C3" s="88"/>
      <c r="D3" s="88"/>
      <c r="E3" s="89"/>
      <c r="F3" s="87"/>
      <c r="G3" s="88"/>
      <c r="H3" s="88"/>
      <c r="I3" s="88"/>
      <c r="J3" s="88"/>
    </row>
    <row r="4" spans="1:10" s="86" customFormat="1" ht="12" customHeight="1">
      <c r="A4" s="87" t="s">
        <v>54</v>
      </c>
      <c r="B4" s="88"/>
      <c r="C4" s="88"/>
      <c r="D4" s="88"/>
      <c r="E4" s="89"/>
      <c r="F4" s="89"/>
      <c r="G4" s="88"/>
      <c r="H4" s="88"/>
      <c r="I4" s="88"/>
      <c r="J4" s="88"/>
    </row>
    <row r="5" spans="1:10" s="86" customFormat="1" ht="12" customHeight="1">
      <c r="A5" s="87"/>
      <c r="B5" s="88"/>
      <c r="C5" s="88"/>
      <c r="D5" s="88"/>
      <c r="E5" s="89"/>
      <c r="F5" s="89"/>
      <c r="G5" s="88"/>
      <c r="H5" s="88"/>
      <c r="I5" s="88"/>
      <c r="J5" s="88"/>
    </row>
    <row r="6" spans="1:10" ht="12" customHeight="1">
      <c r="A6" s="87" t="s">
        <v>27</v>
      </c>
      <c r="B6" s="88"/>
      <c r="C6" s="88"/>
      <c r="D6" s="88"/>
      <c r="E6" s="89"/>
      <c r="F6" s="87"/>
      <c r="G6" s="88"/>
      <c r="H6" s="88"/>
      <c r="I6" s="88"/>
      <c r="J6" s="88"/>
    </row>
    <row r="7" spans="1:10" ht="12" customHeight="1">
      <c r="A7" s="87"/>
      <c r="B7" s="88"/>
      <c r="C7" s="88"/>
      <c r="D7" s="88"/>
      <c r="E7" s="89"/>
      <c r="F7" s="87"/>
      <c r="G7" s="88"/>
      <c r="H7" s="88"/>
      <c r="I7" s="88"/>
      <c r="J7" s="88"/>
    </row>
    <row r="8" spans="1:10" ht="12" customHeight="1">
      <c r="A8" s="87" t="s">
        <v>63</v>
      </c>
      <c r="B8" s="88"/>
      <c r="C8" s="88"/>
      <c r="D8" s="88"/>
      <c r="E8" s="89"/>
      <c r="F8" s="87"/>
      <c r="G8" s="88"/>
      <c r="H8" s="88"/>
      <c r="I8" s="88"/>
      <c r="J8" s="88"/>
    </row>
    <row r="9" spans="1:10" ht="12" customHeight="1" thickBot="1">
      <c r="A9" s="85"/>
      <c r="B9" s="85"/>
      <c r="C9" s="85"/>
      <c r="D9" s="85"/>
      <c r="E9" s="85"/>
      <c r="F9" s="85"/>
      <c r="G9" s="85"/>
      <c r="H9" s="85"/>
      <c r="I9" s="85"/>
      <c r="J9" s="85"/>
    </row>
    <row r="10" spans="1:10" ht="12" customHeight="1">
      <c r="A10" s="91"/>
      <c r="B10" s="92" t="s">
        <v>3</v>
      </c>
      <c r="C10" s="93"/>
      <c r="D10" s="93"/>
      <c r="E10" s="92" t="s">
        <v>4</v>
      </c>
      <c r="F10" s="93"/>
      <c r="G10" s="93"/>
      <c r="H10" s="92" t="s">
        <v>5</v>
      </c>
      <c r="I10" s="93"/>
      <c r="J10" s="93"/>
    </row>
    <row r="11" spans="1:10" ht="12" customHeight="1">
      <c r="A11" s="126" t="s">
        <v>17</v>
      </c>
      <c r="B11" s="94" t="s">
        <v>6</v>
      </c>
      <c r="C11" s="95" t="s">
        <v>7</v>
      </c>
      <c r="D11" s="95" t="s">
        <v>5</v>
      </c>
      <c r="E11" s="94" t="s">
        <v>6</v>
      </c>
      <c r="F11" s="95" t="s">
        <v>7</v>
      </c>
      <c r="G11" s="95" t="s">
        <v>5</v>
      </c>
      <c r="H11" s="94" t="s">
        <v>6</v>
      </c>
      <c r="I11" s="95" t="s">
        <v>7</v>
      </c>
      <c r="J11" s="95" t="s">
        <v>5</v>
      </c>
    </row>
    <row r="12" spans="1:10" ht="12" customHeight="1">
      <c r="A12" s="96"/>
      <c r="B12" s="97"/>
      <c r="C12" s="96"/>
      <c r="D12" s="96"/>
      <c r="E12" s="97"/>
      <c r="F12" s="96"/>
      <c r="G12" s="96"/>
      <c r="H12" s="97"/>
      <c r="I12" s="96"/>
      <c r="J12" s="96"/>
    </row>
    <row r="13" spans="1:10" ht="12" customHeight="1">
      <c r="A13" s="85" t="s">
        <v>18</v>
      </c>
      <c r="B13" s="98">
        <f aca="true" t="shared" si="0" ref="B13:J13">SUM(B36,B52,B68,B84)</f>
        <v>0</v>
      </c>
      <c r="C13" s="99">
        <f t="shared" si="0"/>
        <v>0</v>
      </c>
      <c r="D13" s="99">
        <f t="shared" si="0"/>
        <v>0</v>
      </c>
      <c r="E13" s="98">
        <f t="shared" si="0"/>
        <v>5</v>
      </c>
      <c r="F13" s="99">
        <f t="shared" si="0"/>
        <v>113</v>
      </c>
      <c r="G13" s="99">
        <f t="shared" si="0"/>
        <v>118</v>
      </c>
      <c r="H13" s="98">
        <f t="shared" si="0"/>
        <v>5</v>
      </c>
      <c r="I13" s="99">
        <f t="shared" si="0"/>
        <v>113</v>
      </c>
      <c r="J13" s="99">
        <f t="shared" si="0"/>
        <v>118</v>
      </c>
    </row>
    <row r="14" spans="1:10" ht="12" customHeight="1">
      <c r="A14" s="85" t="s">
        <v>19</v>
      </c>
      <c r="B14" s="98">
        <f aca="true" t="shared" si="1" ref="B14:J14">SUM(B37,B53,B69,B85)</f>
        <v>3</v>
      </c>
      <c r="C14" s="99">
        <f t="shared" si="1"/>
        <v>73</v>
      </c>
      <c r="D14" s="99">
        <f t="shared" si="1"/>
        <v>76</v>
      </c>
      <c r="E14" s="98">
        <f t="shared" si="1"/>
        <v>11</v>
      </c>
      <c r="F14" s="99">
        <f t="shared" si="1"/>
        <v>328</v>
      </c>
      <c r="G14" s="99">
        <f t="shared" si="1"/>
        <v>339</v>
      </c>
      <c r="H14" s="98">
        <f t="shared" si="1"/>
        <v>14</v>
      </c>
      <c r="I14" s="99">
        <f t="shared" si="1"/>
        <v>401</v>
      </c>
      <c r="J14" s="99">
        <f t="shared" si="1"/>
        <v>415</v>
      </c>
    </row>
    <row r="15" spans="1:10" ht="12" customHeight="1">
      <c r="A15" s="85" t="s">
        <v>20</v>
      </c>
      <c r="B15" s="98">
        <f aca="true" t="shared" si="2" ref="B15:J15">SUM(B38,B54,B70,B86)</f>
        <v>18</v>
      </c>
      <c r="C15" s="99">
        <f t="shared" si="2"/>
        <v>281</v>
      </c>
      <c r="D15" s="99">
        <f t="shared" si="2"/>
        <v>299</v>
      </c>
      <c r="E15" s="98">
        <f t="shared" si="2"/>
        <v>7</v>
      </c>
      <c r="F15" s="99">
        <f t="shared" si="2"/>
        <v>144</v>
      </c>
      <c r="G15" s="99">
        <f t="shared" si="2"/>
        <v>151</v>
      </c>
      <c r="H15" s="98">
        <f t="shared" si="2"/>
        <v>25</v>
      </c>
      <c r="I15" s="99">
        <f t="shared" si="2"/>
        <v>425</v>
      </c>
      <c r="J15" s="99">
        <f t="shared" si="2"/>
        <v>450</v>
      </c>
    </row>
    <row r="16" spans="1:10" ht="12" customHeight="1">
      <c r="A16" s="85" t="s">
        <v>21</v>
      </c>
      <c r="B16" s="100">
        <f aca="true" t="shared" si="3" ref="B16:J16">SUM(B39,B55,B71,B87)</f>
        <v>20</v>
      </c>
      <c r="C16" s="99">
        <f t="shared" si="3"/>
        <v>301</v>
      </c>
      <c r="D16" s="99">
        <f t="shared" si="3"/>
        <v>321</v>
      </c>
      <c r="E16" s="98">
        <f t="shared" si="3"/>
        <v>6</v>
      </c>
      <c r="F16" s="99">
        <f t="shared" si="3"/>
        <v>106</v>
      </c>
      <c r="G16" s="99">
        <f t="shared" si="3"/>
        <v>112</v>
      </c>
      <c r="H16" s="98">
        <f t="shared" si="3"/>
        <v>26</v>
      </c>
      <c r="I16" s="99">
        <f t="shared" si="3"/>
        <v>407</v>
      </c>
      <c r="J16" s="99">
        <f t="shared" si="3"/>
        <v>433</v>
      </c>
    </row>
    <row r="17" spans="1:10" ht="12" customHeight="1">
      <c r="A17" s="85" t="s">
        <v>22</v>
      </c>
      <c r="B17" s="100">
        <f aca="true" t="shared" si="4" ref="B17:J17">SUM(B40,B56,B72,B88)</f>
        <v>23</v>
      </c>
      <c r="C17" s="99">
        <f t="shared" si="4"/>
        <v>231</v>
      </c>
      <c r="D17" s="99">
        <f t="shared" si="4"/>
        <v>254</v>
      </c>
      <c r="E17" s="98">
        <f t="shared" si="4"/>
        <v>5</v>
      </c>
      <c r="F17" s="99">
        <f t="shared" si="4"/>
        <v>62</v>
      </c>
      <c r="G17" s="99">
        <f t="shared" si="4"/>
        <v>67</v>
      </c>
      <c r="H17" s="98">
        <f t="shared" si="4"/>
        <v>28</v>
      </c>
      <c r="I17" s="99">
        <f t="shared" si="4"/>
        <v>293</v>
      </c>
      <c r="J17" s="99">
        <f t="shared" si="4"/>
        <v>321</v>
      </c>
    </row>
    <row r="18" spans="1:10" ht="12" customHeight="1">
      <c r="A18" s="85" t="s">
        <v>23</v>
      </c>
      <c r="B18" s="100">
        <f aca="true" t="shared" si="5" ref="B18:J18">SUM(B41,B57,B73,B89)</f>
        <v>25</v>
      </c>
      <c r="C18" s="99">
        <f t="shared" si="5"/>
        <v>233</v>
      </c>
      <c r="D18" s="99">
        <f t="shared" si="5"/>
        <v>258</v>
      </c>
      <c r="E18" s="98">
        <f t="shared" si="5"/>
        <v>2</v>
      </c>
      <c r="F18" s="99">
        <f t="shared" si="5"/>
        <v>45</v>
      </c>
      <c r="G18" s="99">
        <f t="shared" si="5"/>
        <v>47</v>
      </c>
      <c r="H18" s="98">
        <f t="shared" si="5"/>
        <v>27</v>
      </c>
      <c r="I18" s="99">
        <f t="shared" si="5"/>
        <v>278</v>
      </c>
      <c r="J18" s="99">
        <f t="shared" si="5"/>
        <v>305</v>
      </c>
    </row>
    <row r="19" spans="1:10" ht="12" customHeight="1">
      <c r="A19" s="85" t="s">
        <v>24</v>
      </c>
      <c r="B19" s="100">
        <f aca="true" t="shared" si="6" ref="B19:J19">SUM(B42,B58,B74,B90)</f>
        <v>24</v>
      </c>
      <c r="C19" s="99">
        <f t="shared" si="6"/>
        <v>303</v>
      </c>
      <c r="D19" s="99">
        <f t="shared" si="6"/>
        <v>327</v>
      </c>
      <c r="E19" s="98">
        <f t="shared" si="6"/>
        <v>1</v>
      </c>
      <c r="F19" s="99">
        <f t="shared" si="6"/>
        <v>31</v>
      </c>
      <c r="G19" s="99">
        <f t="shared" si="6"/>
        <v>32</v>
      </c>
      <c r="H19" s="98">
        <f t="shared" si="6"/>
        <v>25</v>
      </c>
      <c r="I19" s="99">
        <f t="shared" si="6"/>
        <v>334</v>
      </c>
      <c r="J19" s="99">
        <f t="shared" si="6"/>
        <v>359</v>
      </c>
    </row>
    <row r="20" spans="1:10" ht="12" customHeight="1">
      <c r="A20" s="85" t="s">
        <v>25</v>
      </c>
      <c r="B20" s="100">
        <f aca="true" t="shared" si="7" ref="B20:J20">SUM(B43,B59,B75,B91)</f>
        <v>33</v>
      </c>
      <c r="C20" s="99">
        <f t="shared" si="7"/>
        <v>236</v>
      </c>
      <c r="D20" s="99">
        <f t="shared" si="7"/>
        <v>269</v>
      </c>
      <c r="E20" s="98">
        <f t="shared" si="7"/>
        <v>2</v>
      </c>
      <c r="F20" s="99">
        <f t="shared" si="7"/>
        <v>11</v>
      </c>
      <c r="G20" s="99">
        <f t="shared" si="7"/>
        <v>13</v>
      </c>
      <c r="H20" s="98">
        <f t="shared" si="7"/>
        <v>35</v>
      </c>
      <c r="I20" s="99">
        <f t="shared" si="7"/>
        <v>247</v>
      </c>
      <c r="J20" s="99">
        <f t="shared" si="7"/>
        <v>282</v>
      </c>
    </row>
    <row r="21" spans="1:10" ht="12" customHeight="1">
      <c r="A21" s="85" t="s">
        <v>26</v>
      </c>
      <c r="B21" s="100">
        <f aca="true" t="shared" si="8" ref="B21:J21">SUM(B44,B60,B76,B92)</f>
        <v>12</v>
      </c>
      <c r="C21" s="99">
        <f t="shared" si="8"/>
        <v>74</v>
      </c>
      <c r="D21" s="101">
        <f t="shared" si="8"/>
        <v>86</v>
      </c>
      <c r="E21" s="98">
        <f t="shared" si="8"/>
        <v>2</v>
      </c>
      <c r="F21" s="99">
        <f t="shared" si="8"/>
        <v>2</v>
      </c>
      <c r="G21" s="101">
        <f t="shared" si="8"/>
        <v>4</v>
      </c>
      <c r="H21" s="98">
        <f t="shared" si="8"/>
        <v>14</v>
      </c>
      <c r="I21" s="99">
        <f t="shared" si="8"/>
        <v>76</v>
      </c>
      <c r="J21" s="101">
        <f t="shared" si="8"/>
        <v>90</v>
      </c>
    </row>
    <row r="22" spans="1:10" ht="12" customHeight="1">
      <c r="A22" s="102" t="s">
        <v>5</v>
      </c>
      <c r="B22" s="103">
        <f aca="true" t="shared" si="9" ref="B22:J22">SUM(B45,B61,B77,B93)</f>
        <v>158</v>
      </c>
      <c r="C22" s="104">
        <f t="shared" si="9"/>
        <v>1732</v>
      </c>
      <c r="D22" s="104">
        <f t="shared" si="9"/>
        <v>1890</v>
      </c>
      <c r="E22" s="103">
        <f t="shared" si="9"/>
        <v>41</v>
      </c>
      <c r="F22" s="104">
        <f t="shared" si="9"/>
        <v>842</v>
      </c>
      <c r="G22" s="104">
        <f t="shared" si="9"/>
        <v>883</v>
      </c>
      <c r="H22" s="103">
        <f t="shared" si="9"/>
        <v>199</v>
      </c>
      <c r="I22" s="104">
        <f t="shared" si="9"/>
        <v>2574</v>
      </c>
      <c r="J22" s="104">
        <f t="shared" si="9"/>
        <v>2773</v>
      </c>
    </row>
    <row r="23" ht="12.75" customHeight="1"/>
    <row r="24" spans="1:10" ht="12" customHeight="1">
      <c r="A24" s="84" t="s">
        <v>51</v>
      </c>
      <c r="B24" s="85"/>
      <c r="C24" s="85"/>
      <c r="D24" s="85"/>
      <c r="E24" s="85"/>
      <c r="F24" s="85"/>
      <c r="G24" s="85"/>
      <c r="H24" s="85"/>
      <c r="I24" s="85"/>
      <c r="J24" s="85"/>
    </row>
    <row r="25" spans="1:10" ht="12" customHeight="1">
      <c r="A25" s="67" t="s">
        <v>28</v>
      </c>
      <c r="B25" s="88"/>
      <c r="C25" s="88"/>
      <c r="D25" s="88"/>
      <c r="E25" s="89"/>
      <c r="F25" s="89"/>
      <c r="G25" s="88"/>
      <c r="H25" s="88"/>
      <c r="I25" s="88"/>
      <c r="J25" s="88"/>
    </row>
    <row r="26" spans="1:10" ht="12" customHeight="1">
      <c r="A26" s="88"/>
      <c r="B26" s="88"/>
      <c r="C26" s="88"/>
      <c r="D26" s="88"/>
      <c r="E26" s="89"/>
      <c r="F26" s="87"/>
      <c r="G26" s="88"/>
      <c r="H26" s="88"/>
      <c r="I26" s="88"/>
      <c r="J26" s="88"/>
    </row>
    <row r="27" spans="1:10" ht="12" customHeight="1">
      <c r="A27" s="87" t="s">
        <v>54</v>
      </c>
      <c r="B27" s="88"/>
      <c r="C27" s="88"/>
      <c r="D27" s="88"/>
      <c r="E27" s="89"/>
      <c r="F27" s="89"/>
      <c r="G27" s="88"/>
      <c r="H27" s="88"/>
      <c r="I27" s="88"/>
      <c r="J27" s="88"/>
    </row>
    <row r="28" spans="1:10" ht="12" customHeight="1">
      <c r="A28" s="87"/>
      <c r="B28" s="88"/>
      <c r="C28" s="88"/>
      <c r="D28" s="88"/>
      <c r="E28" s="89"/>
      <c r="F28" s="89"/>
      <c r="G28" s="88"/>
      <c r="H28" s="88"/>
      <c r="I28" s="88"/>
      <c r="J28" s="88"/>
    </row>
    <row r="29" spans="1:10" ht="12" customHeight="1">
      <c r="A29" s="87" t="s">
        <v>27</v>
      </c>
      <c r="B29" s="88"/>
      <c r="C29" s="88"/>
      <c r="D29" s="88"/>
      <c r="E29" s="89"/>
      <c r="F29" s="87"/>
      <c r="G29" s="88"/>
      <c r="H29" s="88"/>
      <c r="I29" s="88"/>
      <c r="J29" s="88"/>
    </row>
    <row r="30" spans="1:10" ht="12" customHeight="1">
      <c r="A30" s="87"/>
      <c r="B30" s="88"/>
      <c r="C30" s="88"/>
      <c r="D30" s="88"/>
      <c r="E30" s="89"/>
      <c r="F30" s="87"/>
      <c r="G30" s="88"/>
      <c r="H30" s="88"/>
      <c r="I30" s="88"/>
      <c r="J30" s="88"/>
    </row>
    <row r="31" spans="1:10" ht="12" customHeight="1">
      <c r="A31" s="87" t="s">
        <v>29</v>
      </c>
      <c r="B31" s="88"/>
      <c r="C31" s="88"/>
      <c r="D31" s="88"/>
      <c r="E31" s="89"/>
      <c r="F31" s="87"/>
      <c r="G31" s="88"/>
      <c r="H31" s="88"/>
      <c r="I31" s="88"/>
      <c r="J31" s="88"/>
    </row>
    <row r="32" spans="1:10" ht="12" customHeight="1" thickBot="1">
      <c r="A32" s="85"/>
      <c r="B32" s="85"/>
      <c r="C32" s="85"/>
      <c r="D32" s="85"/>
      <c r="E32" s="85"/>
      <c r="F32" s="85"/>
      <c r="G32" s="85"/>
      <c r="H32" s="85"/>
      <c r="I32" s="85"/>
      <c r="J32" s="85"/>
    </row>
    <row r="33" spans="1:10" ht="12" customHeight="1">
      <c r="A33" s="91"/>
      <c r="B33" s="92" t="s">
        <v>3</v>
      </c>
      <c r="C33" s="93"/>
      <c r="D33" s="93"/>
      <c r="E33" s="92" t="s">
        <v>4</v>
      </c>
      <c r="F33" s="93"/>
      <c r="G33" s="93"/>
      <c r="H33" s="92" t="s">
        <v>5</v>
      </c>
      <c r="I33" s="93"/>
      <c r="J33" s="93"/>
    </row>
    <row r="34" spans="1:10" ht="12" customHeight="1">
      <c r="A34" s="126" t="s">
        <v>17</v>
      </c>
      <c r="B34" s="94" t="s">
        <v>6</v>
      </c>
      <c r="C34" s="95" t="s">
        <v>7</v>
      </c>
      <c r="D34" s="95" t="s">
        <v>5</v>
      </c>
      <c r="E34" s="94" t="s">
        <v>6</v>
      </c>
      <c r="F34" s="95" t="s">
        <v>7</v>
      </c>
      <c r="G34" s="95" t="s">
        <v>5</v>
      </c>
      <c r="H34" s="94" t="s">
        <v>6</v>
      </c>
      <c r="I34" s="95" t="s">
        <v>7</v>
      </c>
      <c r="J34" s="95" t="s">
        <v>5</v>
      </c>
    </row>
    <row r="35" spans="1:10" ht="12" customHeight="1">
      <c r="A35" s="96"/>
      <c r="B35" s="97"/>
      <c r="C35" s="96"/>
      <c r="D35" s="96"/>
      <c r="E35" s="97"/>
      <c r="F35" s="96"/>
      <c r="G35" s="96"/>
      <c r="H35" s="97"/>
      <c r="I35" s="96"/>
      <c r="J35" s="96"/>
    </row>
    <row r="36" spans="1:10" ht="12" customHeight="1">
      <c r="A36" s="85" t="s">
        <v>18</v>
      </c>
      <c r="B36" s="98">
        <f>0</f>
        <v>0</v>
      </c>
      <c r="C36" s="99">
        <f>0</f>
        <v>0</v>
      </c>
      <c r="D36" s="99">
        <f>SUM(B36:C36)</f>
        <v>0</v>
      </c>
      <c r="E36" s="98">
        <v>4</v>
      </c>
      <c r="F36" s="99">
        <v>46</v>
      </c>
      <c r="G36" s="99">
        <f aca="true" t="shared" si="10" ref="G36:G44">SUM(E36:F36)</f>
        <v>50</v>
      </c>
      <c r="H36" s="98">
        <f>SUM(B36,E36)</f>
        <v>4</v>
      </c>
      <c r="I36" s="99">
        <f>SUM(C36,F36)</f>
        <v>46</v>
      </c>
      <c r="J36" s="99">
        <f aca="true" t="shared" si="11" ref="J36:J44">SUM(H36:I36)</f>
        <v>50</v>
      </c>
    </row>
    <row r="37" spans="1:10" ht="12" customHeight="1">
      <c r="A37" s="85" t="s">
        <v>19</v>
      </c>
      <c r="B37" s="98">
        <v>3</v>
      </c>
      <c r="C37" s="99">
        <v>38</v>
      </c>
      <c r="D37" s="99">
        <f aca="true" t="shared" si="12" ref="D37:D44">SUM(B37:C37)</f>
        <v>41</v>
      </c>
      <c r="E37" s="98">
        <v>4</v>
      </c>
      <c r="F37" s="99">
        <v>97</v>
      </c>
      <c r="G37" s="99">
        <f t="shared" si="10"/>
        <v>101</v>
      </c>
      <c r="H37" s="98">
        <f aca="true" t="shared" si="13" ref="H37:I44">SUM(B37,E37)</f>
        <v>7</v>
      </c>
      <c r="I37" s="99">
        <f t="shared" si="13"/>
        <v>135</v>
      </c>
      <c r="J37" s="99">
        <f t="shared" si="11"/>
        <v>142</v>
      </c>
    </row>
    <row r="38" spans="1:10" ht="12" customHeight="1">
      <c r="A38" s="85" t="s">
        <v>20</v>
      </c>
      <c r="B38" s="98">
        <v>7</v>
      </c>
      <c r="C38" s="99">
        <v>105</v>
      </c>
      <c r="D38" s="99">
        <f t="shared" si="12"/>
        <v>112</v>
      </c>
      <c r="E38" s="98">
        <v>4</v>
      </c>
      <c r="F38" s="99">
        <v>40</v>
      </c>
      <c r="G38" s="99">
        <f t="shared" si="10"/>
        <v>44</v>
      </c>
      <c r="H38" s="98">
        <f t="shared" si="13"/>
        <v>11</v>
      </c>
      <c r="I38" s="99">
        <f t="shared" si="13"/>
        <v>145</v>
      </c>
      <c r="J38" s="99">
        <f t="shared" si="11"/>
        <v>156</v>
      </c>
    </row>
    <row r="39" spans="1:10" ht="12" customHeight="1">
      <c r="A39" s="85" t="s">
        <v>21</v>
      </c>
      <c r="B39" s="100">
        <v>12</v>
      </c>
      <c r="C39" s="99">
        <v>80</v>
      </c>
      <c r="D39" s="99">
        <f t="shared" si="12"/>
        <v>92</v>
      </c>
      <c r="E39" s="98">
        <v>1</v>
      </c>
      <c r="F39" s="99">
        <v>39</v>
      </c>
      <c r="G39" s="99">
        <f t="shared" si="10"/>
        <v>40</v>
      </c>
      <c r="H39" s="98">
        <f t="shared" si="13"/>
        <v>13</v>
      </c>
      <c r="I39" s="99">
        <f t="shared" si="13"/>
        <v>119</v>
      </c>
      <c r="J39" s="99">
        <f t="shared" si="11"/>
        <v>132</v>
      </c>
    </row>
    <row r="40" spans="1:10" ht="12" customHeight="1">
      <c r="A40" s="85" t="s">
        <v>22</v>
      </c>
      <c r="B40" s="100">
        <v>9</v>
      </c>
      <c r="C40" s="99">
        <v>70</v>
      </c>
      <c r="D40" s="99">
        <f t="shared" si="12"/>
        <v>79</v>
      </c>
      <c r="E40" s="98">
        <v>2</v>
      </c>
      <c r="F40" s="99">
        <v>26</v>
      </c>
      <c r="G40" s="99">
        <f t="shared" si="10"/>
        <v>28</v>
      </c>
      <c r="H40" s="98">
        <f t="shared" si="13"/>
        <v>11</v>
      </c>
      <c r="I40" s="99">
        <f t="shared" si="13"/>
        <v>96</v>
      </c>
      <c r="J40" s="99">
        <f t="shared" si="11"/>
        <v>107</v>
      </c>
    </row>
    <row r="41" spans="1:10" ht="12" customHeight="1">
      <c r="A41" s="85" t="s">
        <v>23</v>
      </c>
      <c r="B41" s="100">
        <v>6</v>
      </c>
      <c r="C41" s="99">
        <v>49</v>
      </c>
      <c r="D41" s="99">
        <f t="shared" si="12"/>
        <v>55</v>
      </c>
      <c r="E41" s="98">
        <v>1</v>
      </c>
      <c r="F41" s="99">
        <v>12</v>
      </c>
      <c r="G41" s="99">
        <f t="shared" si="10"/>
        <v>13</v>
      </c>
      <c r="H41" s="98">
        <f t="shared" si="13"/>
        <v>7</v>
      </c>
      <c r="I41" s="99">
        <f t="shared" si="13"/>
        <v>61</v>
      </c>
      <c r="J41" s="99">
        <f t="shared" si="11"/>
        <v>68</v>
      </c>
    </row>
    <row r="42" spans="1:10" ht="12" customHeight="1">
      <c r="A42" s="85" t="s">
        <v>24</v>
      </c>
      <c r="B42" s="100">
        <v>10</v>
      </c>
      <c r="C42" s="99">
        <v>65</v>
      </c>
      <c r="D42" s="99">
        <f t="shared" si="12"/>
        <v>75</v>
      </c>
      <c r="E42" s="98">
        <f>0</f>
        <v>0</v>
      </c>
      <c r="F42" s="99">
        <v>9</v>
      </c>
      <c r="G42" s="99">
        <f t="shared" si="10"/>
        <v>9</v>
      </c>
      <c r="H42" s="98">
        <f t="shared" si="13"/>
        <v>10</v>
      </c>
      <c r="I42" s="99">
        <f t="shared" si="13"/>
        <v>74</v>
      </c>
      <c r="J42" s="99">
        <f t="shared" si="11"/>
        <v>84</v>
      </c>
    </row>
    <row r="43" spans="1:10" ht="12" customHeight="1">
      <c r="A43" s="85" t="s">
        <v>25</v>
      </c>
      <c r="B43" s="100">
        <v>8</v>
      </c>
      <c r="C43" s="99">
        <v>66</v>
      </c>
      <c r="D43" s="99">
        <f t="shared" si="12"/>
        <v>74</v>
      </c>
      <c r="E43" s="98">
        <v>2</v>
      </c>
      <c r="F43" s="99">
        <v>4</v>
      </c>
      <c r="G43" s="99">
        <f t="shared" si="10"/>
        <v>6</v>
      </c>
      <c r="H43" s="98">
        <f t="shared" si="13"/>
        <v>10</v>
      </c>
      <c r="I43" s="99">
        <f t="shared" si="13"/>
        <v>70</v>
      </c>
      <c r="J43" s="99">
        <f t="shared" si="11"/>
        <v>80</v>
      </c>
    </row>
    <row r="44" spans="1:10" ht="12" customHeight="1">
      <c r="A44" s="85" t="s">
        <v>26</v>
      </c>
      <c r="B44" s="100">
        <f>5+0</f>
        <v>5</v>
      </c>
      <c r="C44" s="99">
        <f>25+1</f>
        <v>26</v>
      </c>
      <c r="D44" s="101">
        <f t="shared" si="12"/>
        <v>31</v>
      </c>
      <c r="E44" s="98">
        <f>0</f>
        <v>0</v>
      </c>
      <c r="F44" s="99">
        <f>0</f>
        <v>0</v>
      </c>
      <c r="G44" s="101">
        <f t="shared" si="10"/>
        <v>0</v>
      </c>
      <c r="H44" s="98">
        <f t="shared" si="13"/>
        <v>5</v>
      </c>
      <c r="I44" s="99">
        <f t="shared" si="13"/>
        <v>26</v>
      </c>
      <c r="J44" s="101">
        <f t="shared" si="11"/>
        <v>31</v>
      </c>
    </row>
    <row r="45" spans="1:10" ht="12" customHeight="1">
      <c r="A45" s="102" t="s">
        <v>5</v>
      </c>
      <c r="B45" s="103">
        <f>SUM(B36:B44)</f>
        <v>60</v>
      </c>
      <c r="C45" s="104">
        <f aca="true" t="shared" si="14" ref="C45:J45">SUM(C36:C44)</f>
        <v>499</v>
      </c>
      <c r="D45" s="104">
        <f t="shared" si="14"/>
        <v>559</v>
      </c>
      <c r="E45" s="103">
        <f t="shared" si="14"/>
        <v>18</v>
      </c>
      <c r="F45" s="104">
        <f t="shared" si="14"/>
        <v>273</v>
      </c>
      <c r="G45" s="104">
        <f t="shared" si="14"/>
        <v>291</v>
      </c>
      <c r="H45" s="103">
        <f t="shared" si="14"/>
        <v>78</v>
      </c>
      <c r="I45" s="104">
        <f t="shared" si="14"/>
        <v>772</v>
      </c>
      <c r="J45" s="104">
        <f t="shared" si="14"/>
        <v>850</v>
      </c>
    </row>
    <row r="47" spans="1:10" ht="12" customHeight="1">
      <c r="A47" s="87" t="s">
        <v>9</v>
      </c>
      <c r="B47" s="88"/>
      <c r="C47" s="88"/>
      <c r="D47" s="88"/>
      <c r="E47" s="89"/>
      <c r="F47" s="87"/>
      <c r="G47" s="88"/>
      <c r="H47" s="88"/>
      <c r="I47" s="88"/>
      <c r="J47" s="88"/>
    </row>
    <row r="48" spans="1:10" ht="12" customHeight="1" thickBot="1">
      <c r="A48" s="85"/>
      <c r="B48" s="85"/>
      <c r="C48" s="85"/>
      <c r="D48" s="85"/>
      <c r="E48" s="85"/>
      <c r="F48" s="85"/>
      <c r="G48" s="85"/>
      <c r="H48" s="85"/>
      <c r="I48" s="85"/>
      <c r="J48" s="85"/>
    </row>
    <row r="49" spans="1:10" ht="12" customHeight="1">
      <c r="A49" s="91"/>
      <c r="B49" s="92" t="s">
        <v>3</v>
      </c>
      <c r="C49" s="93"/>
      <c r="D49" s="93"/>
      <c r="E49" s="92" t="s">
        <v>4</v>
      </c>
      <c r="F49" s="93"/>
      <c r="G49" s="93"/>
      <c r="H49" s="92" t="s">
        <v>5</v>
      </c>
      <c r="I49" s="93"/>
      <c r="J49" s="93"/>
    </row>
    <row r="50" spans="1:10" ht="12" customHeight="1">
      <c r="A50" s="126" t="s">
        <v>17</v>
      </c>
      <c r="B50" s="94" t="s">
        <v>6</v>
      </c>
      <c r="C50" s="95" t="s">
        <v>7</v>
      </c>
      <c r="D50" s="95" t="s">
        <v>5</v>
      </c>
      <c r="E50" s="94" t="s">
        <v>6</v>
      </c>
      <c r="F50" s="95" t="s">
        <v>7</v>
      </c>
      <c r="G50" s="95" t="s">
        <v>5</v>
      </c>
      <c r="H50" s="94" t="s">
        <v>6</v>
      </c>
      <c r="I50" s="95" t="s">
        <v>7</v>
      </c>
      <c r="J50" s="95" t="s">
        <v>5</v>
      </c>
    </row>
    <row r="51" spans="1:10" ht="12" customHeight="1">
      <c r="A51" s="96"/>
      <c r="B51" s="97"/>
      <c r="C51" s="96"/>
      <c r="D51" s="96"/>
      <c r="E51" s="97"/>
      <c r="F51" s="96"/>
      <c r="G51" s="96"/>
      <c r="H51" s="97"/>
      <c r="I51" s="96"/>
      <c r="J51" s="96"/>
    </row>
    <row r="52" spans="1:10" ht="12" customHeight="1">
      <c r="A52" s="85" t="s">
        <v>18</v>
      </c>
      <c r="B52" s="98">
        <f>0</f>
        <v>0</v>
      </c>
      <c r="C52" s="99">
        <f>0</f>
        <v>0</v>
      </c>
      <c r="D52" s="99">
        <f>SUM(B52:C52)</f>
        <v>0</v>
      </c>
      <c r="E52" s="98">
        <v>1</v>
      </c>
      <c r="F52" s="99">
        <v>45</v>
      </c>
      <c r="G52" s="99">
        <f aca="true" t="shared" si="15" ref="G52:G60">SUM(E52:F52)</f>
        <v>46</v>
      </c>
      <c r="H52" s="98">
        <f>SUM(B52,E52)</f>
        <v>1</v>
      </c>
      <c r="I52" s="99">
        <f>SUM(C52,F52)</f>
        <v>45</v>
      </c>
      <c r="J52" s="99">
        <f aca="true" t="shared" si="16" ref="J52:J60">SUM(H52:I52)</f>
        <v>46</v>
      </c>
    </row>
    <row r="53" spans="1:10" ht="12" customHeight="1">
      <c r="A53" s="85" t="s">
        <v>19</v>
      </c>
      <c r="B53" s="98">
        <f>0</f>
        <v>0</v>
      </c>
      <c r="C53" s="99">
        <v>25</v>
      </c>
      <c r="D53" s="99">
        <f aca="true" t="shared" si="17" ref="D53:D60">SUM(B53:C53)</f>
        <v>25</v>
      </c>
      <c r="E53" s="98">
        <v>7</v>
      </c>
      <c r="F53" s="99">
        <v>186</v>
      </c>
      <c r="G53" s="99">
        <f t="shared" si="15"/>
        <v>193</v>
      </c>
      <c r="H53" s="98">
        <f aca="true" t="shared" si="18" ref="H53:I60">SUM(B53,E53)</f>
        <v>7</v>
      </c>
      <c r="I53" s="99">
        <f t="shared" si="18"/>
        <v>211</v>
      </c>
      <c r="J53" s="99">
        <f t="shared" si="16"/>
        <v>218</v>
      </c>
    </row>
    <row r="54" spans="1:10" ht="12" customHeight="1">
      <c r="A54" s="85" t="s">
        <v>20</v>
      </c>
      <c r="B54" s="98">
        <v>8</v>
      </c>
      <c r="C54" s="99">
        <v>139</v>
      </c>
      <c r="D54" s="99">
        <f t="shared" si="17"/>
        <v>147</v>
      </c>
      <c r="E54" s="98">
        <v>2</v>
      </c>
      <c r="F54" s="99">
        <v>83</v>
      </c>
      <c r="G54" s="99">
        <f t="shared" si="15"/>
        <v>85</v>
      </c>
      <c r="H54" s="98">
        <f t="shared" si="18"/>
        <v>10</v>
      </c>
      <c r="I54" s="99">
        <f t="shared" si="18"/>
        <v>222</v>
      </c>
      <c r="J54" s="99">
        <f t="shared" si="16"/>
        <v>232</v>
      </c>
    </row>
    <row r="55" spans="1:10" ht="12" customHeight="1">
      <c r="A55" s="85" t="s">
        <v>21</v>
      </c>
      <c r="B55" s="100">
        <v>7</v>
      </c>
      <c r="C55" s="99">
        <v>182</v>
      </c>
      <c r="D55" s="99">
        <f t="shared" si="17"/>
        <v>189</v>
      </c>
      <c r="E55" s="98">
        <v>4</v>
      </c>
      <c r="F55" s="99">
        <v>57</v>
      </c>
      <c r="G55" s="99">
        <f t="shared" si="15"/>
        <v>61</v>
      </c>
      <c r="H55" s="98">
        <f t="shared" si="18"/>
        <v>11</v>
      </c>
      <c r="I55" s="99">
        <f t="shared" si="18"/>
        <v>239</v>
      </c>
      <c r="J55" s="99">
        <f t="shared" si="16"/>
        <v>250</v>
      </c>
    </row>
    <row r="56" spans="1:10" ht="12" customHeight="1">
      <c r="A56" s="85" t="s">
        <v>22</v>
      </c>
      <c r="B56" s="100">
        <v>11</v>
      </c>
      <c r="C56" s="99">
        <v>133</v>
      </c>
      <c r="D56" s="99">
        <f t="shared" si="17"/>
        <v>144</v>
      </c>
      <c r="E56" s="98">
        <v>1</v>
      </c>
      <c r="F56" s="99">
        <v>28</v>
      </c>
      <c r="G56" s="99">
        <f t="shared" si="15"/>
        <v>29</v>
      </c>
      <c r="H56" s="98">
        <f t="shared" si="18"/>
        <v>12</v>
      </c>
      <c r="I56" s="99">
        <f t="shared" si="18"/>
        <v>161</v>
      </c>
      <c r="J56" s="99">
        <f t="shared" si="16"/>
        <v>173</v>
      </c>
    </row>
    <row r="57" spans="1:10" ht="12" customHeight="1">
      <c r="A57" s="85" t="s">
        <v>23</v>
      </c>
      <c r="B57" s="100">
        <v>18</v>
      </c>
      <c r="C57" s="99">
        <v>141</v>
      </c>
      <c r="D57" s="99">
        <f t="shared" si="17"/>
        <v>159</v>
      </c>
      <c r="E57" s="98">
        <v>1</v>
      </c>
      <c r="F57" s="99">
        <v>22</v>
      </c>
      <c r="G57" s="99">
        <f t="shared" si="15"/>
        <v>23</v>
      </c>
      <c r="H57" s="98">
        <f t="shared" si="18"/>
        <v>19</v>
      </c>
      <c r="I57" s="99">
        <f t="shared" si="18"/>
        <v>163</v>
      </c>
      <c r="J57" s="99">
        <f t="shared" si="16"/>
        <v>182</v>
      </c>
    </row>
    <row r="58" spans="1:10" ht="12" customHeight="1">
      <c r="A58" s="85" t="s">
        <v>24</v>
      </c>
      <c r="B58" s="100">
        <v>11</v>
      </c>
      <c r="C58" s="99">
        <v>187</v>
      </c>
      <c r="D58" s="99">
        <f t="shared" si="17"/>
        <v>198</v>
      </c>
      <c r="E58" s="98">
        <v>1</v>
      </c>
      <c r="F58" s="99">
        <v>19</v>
      </c>
      <c r="G58" s="99">
        <f t="shared" si="15"/>
        <v>20</v>
      </c>
      <c r="H58" s="98">
        <f t="shared" si="18"/>
        <v>12</v>
      </c>
      <c r="I58" s="99">
        <f t="shared" si="18"/>
        <v>206</v>
      </c>
      <c r="J58" s="99">
        <f t="shared" si="16"/>
        <v>218</v>
      </c>
    </row>
    <row r="59" spans="1:10" ht="12" customHeight="1">
      <c r="A59" s="85" t="s">
        <v>25</v>
      </c>
      <c r="B59" s="100">
        <v>24</v>
      </c>
      <c r="C59" s="99">
        <v>146</v>
      </c>
      <c r="D59" s="99">
        <f t="shared" si="17"/>
        <v>170</v>
      </c>
      <c r="E59" s="98">
        <f>0</f>
        <v>0</v>
      </c>
      <c r="F59" s="99">
        <v>4</v>
      </c>
      <c r="G59" s="99">
        <f t="shared" si="15"/>
        <v>4</v>
      </c>
      <c r="H59" s="98">
        <f t="shared" si="18"/>
        <v>24</v>
      </c>
      <c r="I59" s="99">
        <f t="shared" si="18"/>
        <v>150</v>
      </c>
      <c r="J59" s="99">
        <f t="shared" si="16"/>
        <v>174</v>
      </c>
    </row>
    <row r="60" spans="1:10" ht="12" customHeight="1">
      <c r="A60" s="85" t="s">
        <v>26</v>
      </c>
      <c r="B60" s="100">
        <v>5</v>
      </c>
      <c r="C60" s="99">
        <v>36</v>
      </c>
      <c r="D60" s="101">
        <f t="shared" si="17"/>
        <v>41</v>
      </c>
      <c r="E60" s="98">
        <f>1+1</f>
        <v>2</v>
      </c>
      <c r="F60" s="99">
        <f>2+0</f>
        <v>2</v>
      </c>
      <c r="G60" s="99">
        <f t="shared" si="15"/>
        <v>4</v>
      </c>
      <c r="H60" s="98">
        <f t="shared" si="18"/>
        <v>7</v>
      </c>
      <c r="I60" s="99">
        <f t="shared" si="18"/>
        <v>38</v>
      </c>
      <c r="J60" s="101">
        <f t="shared" si="16"/>
        <v>45</v>
      </c>
    </row>
    <row r="61" spans="1:10" ht="12" customHeight="1">
      <c r="A61" s="102" t="s">
        <v>5</v>
      </c>
      <c r="B61" s="103">
        <f>SUM(B52:B60)</f>
        <v>84</v>
      </c>
      <c r="C61" s="104">
        <f aca="true" t="shared" si="19" ref="C61:J61">SUM(C52:C60)</f>
        <v>989</v>
      </c>
      <c r="D61" s="104">
        <f t="shared" si="19"/>
        <v>1073</v>
      </c>
      <c r="E61" s="103">
        <f t="shared" si="19"/>
        <v>19</v>
      </c>
      <c r="F61" s="104">
        <f t="shared" si="19"/>
        <v>446</v>
      </c>
      <c r="G61" s="104">
        <f t="shared" si="19"/>
        <v>465</v>
      </c>
      <c r="H61" s="103">
        <f t="shared" si="19"/>
        <v>103</v>
      </c>
      <c r="I61" s="104">
        <f t="shared" si="19"/>
        <v>1435</v>
      </c>
      <c r="J61" s="104">
        <f t="shared" si="19"/>
        <v>1538</v>
      </c>
    </row>
    <row r="63" spans="1:10" ht="12" customHeight="1">
      <c r="A63" s="87" t="s">
        <v>10</v>
      </c>
      <c r="B63" s="88"/>
      <c r="C63" s="88"/>
      <c r="D63" s="88"/>
      <c r="E63" s="89"/>
      <c r="F63" s="87"/>
      <c r="G63" s="88"/>
      <c r="H63" s="88"/>
      <c r="I63" s="88"/>
      <c r="J63" s="88"/>
    </row>
    <row r="64" spans="1:10" ht="12" customHeight="1" thickBot="1">
      <c r="A64" s="85"/>
      <c r="B64" s="85"/>
      <c r="C64" s="85"/>
      <c r="D64" s="85"/>
      <c r="E64" s="85"/>
      <c r="F64" s="85"/>
      <c r="G64" s="85"/>
      <c r="H64" s="85"/>
      <c r="I64" s="85"/>
      <c r="J64" s="85"/>
    </row>
    <row r="65" spans="1:10" ht="12" customHeight="1">
      <c r="A65" s="91"/>
      <c r="B65" s="92" t="s">
        <v>3</v>
      </c>
      <c r="C65" s="93"/>
      <c r="D65" s="93"/>
      <c r="E65" s="92" t="s">
        <v>4</v>
      </c>
      <c r="F65" s="93"/>
      <c r="G65" s="93"/>
      <c r="H65" s="92" t="s">
        <v>5</v>
      </c>
      <c r="I65" s="93"/>
      <c r="J65" s="93"/>
    </row>
    <row r="66" spans="1:10" ht="12" customHeight="1">
      <c r="A66" s="126" t="s">
        <v>17</v>
      </c>
      <c r="B66" s="94" t="s">
        <v>6</v>
      </c>
      <c r="C66" s="95" t="s">
        <v>7</v>
      </c>
      <c r="D66" s="95" t="s">
        <v>5</v>
      </c>
      <c r="E66" s="94" t="s">
        <v>6</v>
      </c>
      <c r="F66" s="95" t="s">
        <v>7</v>
      </c>
      <c r="G66" s="95" t="s">
        <v>5</v>
      </c>
      <c r="H66" s="94" t="s">
        <v>6</v>
      </c>
      <c r="I66" s="95" t="s">
        <v>7</v>
      </c>
      <c r="J66" s="95" t="s">
        <v>5</v>
      </c>
    </row>
    <row r="67" spans="1:10" ht="12" customHeight="1">
      <c r="A67" s="96"/>
      <c r="B67" s="97"/>
      <c r="C67" s="96"/>
      <c r="D67" s="96"/>
      <c r="E67" s="97"/>
      <c r="F67" s="96"/>
      <c r="G67" s="96"/>
      <c r="H67" s="97"/>
      <c r="I67" s="96"/>
      <c r="J67" s="96"/>
    </row>
    <row r="68" spans="1:10" ht="12" customHeight="1">
      <c r="A68" s="85" t="s">
        <v>18</v>
      </c>
      <c r="B68" s="98">
        <f>0</f>
        <v>0</v>
      </c>
      <c r="C68" s="99">
        <f>0</f>
        <v>0</v>
      </c>
      <c r="D68" s="99">
        <f>SUM(B68:C68)</f>
        <v>0</v>
      </c>
      <c r="E68" s="98">
        <f>0</f>
        <v>0</v>
      </c>
      <c r="F68" s="99">
        <f>0</f>
        <v>0</v>
      </c>
      <c r="G68" s="99">
        <f aca="true" t="shared" si="20" ref="G68:G76">SUM(E68:F68)</f>
        <v>0</v>
      </c>
      <c r="H68" s="98">
        <f>SUM(B68,E68)</f>
        <v>0</v>
      </c>
      <c r="I68" s="99">
        <f>SUM(C68,F68)</f>
        <v>0</v>
      </c>
      <c r="J68" s="99">
        <f aca="true" t="shared" si="21" ref="J68:J76">SUM(H68:I68)</f>
        <v>0</v>
      </c>
    </row>
    <row r="69" spans="1:10" ht="12" customHeight="1">
      <c r="A69" s="85" t="s">
        <v>19</v>
      </c>
      <c r="B69" s="98">
        <f>0</f>
        <v>0</v>
      </c>
      <c r="C69" s="99">
        <v>1</v>
      </c>
      <c r="D69" s="99">
        <f aca="true" t="shared" si="22" ref="D69:D76">SUM(B69:C69)</f>
        <v>1</v>
      </c>
      <c r="E69" s="98">
        <f>0</f>
        <v>0</v>
      </c>
      <c r="F69" s="99">
        <v>5</v>
      </c>
      <c r="G69" s="99">
        <f t="shared" si="20"/>
        <v>5</v>
      </c>
      <c r="H69" s="98">
        <f aca="true" t="shared" si="23" ref="H69:I76">SUM(B69,E69)</f>
        <v>0</v>
      </c>
      <c r="I69" s="99">
        <f t="shared" si="23"/>
        <v>6</v>
      </c>
      <c r="J69" s="99">
        <f t="shared" si="21"/>
        <v>6</v>
      </c>
    </row>
    <row r="70" spans="1:10" ht="12" customHeight="1">
      <c r="A70" s="85" t="s">
        <v>20</v>
      </c>
      <c r="B70" s="98">
        <f>0</f>
        <v>0</v>
      </c>
      <c r="C70" s="99">
        <v>3</v>
      </c>
      <c r="D70" s="99">
        <f t="shared" si="22"/>
        <v>3</v>
      </c>
      <c r="E70" s="98">
        <v>1</v>
      </c>
      <c r="F70" s="99">
        <v>2</v>
      </c>
      <c r="G70" s="99">
        <f t="shared" si="20"/>
        <v>3</v>
      </c>
      <c r="H70" s="98">
        <f t="shared" si="23"/>
        <v>1</v>
      </c>
      <c r="I70" s="99">
        <f t="shared" si="23"/>
        <v>5</v>
      </c>
      <c r="J70" s="99">
        <f t="shared" si="21"/>
        <v>6</v>
      </c>
    </row>
    <row r="71" spans="1:10" ht="12" customHeight="1">
      <c r="A71" s="85" t="s">
        <v>21</v>
      </c>
      <c r="B71" s="100">
        <f>0</f>
        <v>0</v>
      </c>
      <c r="C71" s="99">
        <v>3</v>
      </c>
      <c r="D71" s="99">
        <f t="shared" si="22"/>
        <v>3</v>
      </c>
      <c r="E71" s="98">
        <f>0</f>
        <v>0</v>
      </c>
      <c r="F71" s="99">
        <f>0</f>
        <v>0</v>
      </c>
      <c r="G71" s="99">
        <f t="shared" si="20"/>
        <v>0</v>
      </c>
      <c r="H71" s="98">
        <f t="shared" si="23"/>
        <v>0</v>
      </c>
      <c r="I71" s="99">
        <f t="shared" si="23"/>
        <v>3</v>
      </c>
      <c r="J71" s="99">
        <f t="shared" si="21"/>
        <v>3</v>
      </c>
    </row>
    <row r="72" spans="1:10" ht="12" customHeight="1">
      <c r="A72" s="85" t="s">
        <v>22</v>
      </c>
      <c r="B72" s="100">
        <f>0</f>
        <v>0</v>
      </c>
      <c r="C72" s="99">
        <v>3</v>
      </c>
      <c r="D72" s="99">
        <f t="shared" si="22"/>
        <v>3</v>
      </c>
      <c r="E72" s="98">
        <f>0</f>
        <v>0</v>
      </c>
      <c r="F72" s="99">
        <f>0</f>
        <v>0</v>
      </c>
      <c r="G72" s="99">
        <f t="shared" si="20"/>
        <v>0</v>
      </c>
      <c r="H72" s="98">
        <f t="shared" si="23"/>
        <v>0</v>
      </c>
      <c r="I72" s="99">
        <f t="shared" si="23"/>
        <v>3</v>
      </c>
      <c r="J72" s="99">
        <f t="shared" si="21"/>
        <v>3</v>
      </c>
    </row>
    <row r="73" spans="1:10" ht="12" customHeight="1">
      <c r="A73" s="85" t="s">
        <v>23</v>
      </c>
      <c r="B73" s="100">
        <f>0</f>
        <v>0</v>
      </c>
      <c r="C73" s="99">
        <v>7</v>
      </c>
      <c r="D73" s="99">
        <f t="shared" si="22"/>
        <v>7</v>
      </c>
      <c r="E73" s="98">
        <f>0</f>
        <v>0</v>
      </c>
      <c r="F73" s="99">
        <v>1</v>
      </c>
      <c r="G73" s="99">
        <f t="shared" si="20"/>
        <v>1</v>
      </c>
      <c r="H73" s="98">
        <f t="shared" si="23"/>
        <v>0</v>
      </c>
      <c r="I73" s="99">
        <f t="shared" si="23"/>
        <v>8</v>
      </c>
      <c r="J73" s="99">
        <f t="shared" si="21"/>
        <v>8</v>
      </c>
    </row>
    <row r="74" spans="1:10" ht="12" customHeight="1">
      <c r="A74" s="85" t="s">
        <v>24</v>
      </c>
      <c r="B74" s="100">
        <f>0</f>
        <v>0</v>
      </c>
      <c r="C74" s="99">
        <v>5</v>
      </c>
      <c r="D74" s="99">
        <f t="shared" si="22"/>
        <v>5</v>
      </c>
      <c r="E74" s="98">
        <f>0</f>
        <v>0</v>
      </c>
      <c r="F74" s="99">
        <f>0</f>
        <v>0</v>
      </c>
      <c r="G74" s="99">
        <f t="shared" si="20"/>
        <v>0</v>
      </c>
      <c r="H74" s="98">
        <f t="shared" si="23"/>
        <v>0</v>
      </c>
      <c r="I74" s="99">
        <f t="shared" si="23"/>
        <v>5</v>
      </c>
      <c r="J74" s="99">
        <f t="shared" si="21"/>
        <v>5</v>
      </c>
    </row>
    <row r="75" spans="1:10" ht="12" customHeight="1">
      <c r="A75" s="85" t="s">
        <v>25</v>
      </c>
      <c r="B75" s="100">
        <f>0</f>
        <v>0</v>
      </c>
      <c r="C75" s="99">
        <v>2</v>
      </c>
      <c r="D75" s="99">
        <f t="shared" si="22"/>
        <v>2</v>
      </c>
      <c r="E75" s="98">
        <f>0</f>
        <v>0</v>
      </c>
      <c r="F75" s="99">
        <f>0</f>
        <v>0</v>
      </c>
      <c r="G75" s="99">
        <f t="shared" si="20"/>
        <v>0</v>
      </c>
      <c r="H75" s="98">
        <f t="shared" si="23"/>
        <v>0</v>
      </c>
      <c r="I75" s="99">
        <f t="shared" si="23"/>
        <v>2</v>
      </c>
      <c r="J75" s="99">
        <f t="shared" si="21"/>
        <v>2</v>
      </c>
    </row>
    <row r="76" spans="1:10" ht="12" customHeight="1">
      <c r="A76" s="85" t="s">
        <v>26</v>
      </c>
      <c r="B76" s="100">
        <f>0</f>
        <v>0</v>
      </c>
      <c r="C76" s="99">
        <f>0</f>
        <v>0</v>
      </c>
      <c r="D76" s="101">
        <f t="shared" si="22"/>
        <v>0</v>
      </c>
      <c r="E76" s="98">
        <f>0</f>
        <v>0</v>
      </c>
      <c r="F76" s="99">
        <f>0</f>
        <v>0</v>
      </c>
      <c r="G76" s="101">
        <f t="shared" si="20"/>
        <v>0</v>
      </c>
      <c r="H76" s="98">
        <f t="shared" si="23"/>
        <v>0</v>
      </c>
      <c r="I76" s="99">
        <f t="shared" si="23"/>
        <v>0</v>
      </c>
      <c r="J76" s="101">
        <f t="shared" si="21"/>
        <v>0</v>
      </c>
    </row>
    <row r="77" spans="1:10" ht="12" customHeight="1">
      <c r="A77" s="102" t="s">
        <v>5</v>
      </c>
      <c r="B77" s="103">
        <f>SUM(B68:B76)</f>
        <v>0</v>
      </c>
      <c r="C77" s="104">
        <f aca="true" t="shared" si="24" ref="C77:J77">SUM(C68:C76)</f>
        <v>24</v>
      </c>
      <c r="D77" s="104">
        <f t="shared" si="24"/>
        <v>24</v>
      </c>
      <c r="E77" s="103">
        <f t="shared" si="24"/>
        <v>1</v>
      </c>
      <c r="F77" s="104">
        <f t="shared" si="24"/>
        <v>8</v>
      </c>
      <c r="G77" s="104">
        <f t="shared" si="24"/>
        <v>9</v>
      </c>
      <c r="H77" s="103">
        <f t="shared" si="24"/>
        <v>1</v>
      </c>
      <c r="I77" s="104">
        <f t="shared" si="24"/>
        <v>32</v>
      </c>
      <c r="J77" s="104">
        <f t="shared" si="24"/>
        <v>33</v>
      </c>
    </row>
    <row r="79" spans="1:10" ht="12" customHeight="1">
      <c r="A79" s="87" t="s">
        <v>11</v>
      </c>
      <c r="B79" s="88"/>
      <c r="C79" s="88"/>
      <c r="D79" s="88"/>
      <c r="E79" s="89"/>
      <c r="F79" s="87"/>
      <c r="G79" s="88"/>
      <c r="H79" s="88"/>
      <c r="I79" s="88"/>
      <c r="J79" s="88"/>
    </row>
    <row r="80" spans="1:10" ht="12" customHeight="1" thickBot="1">
      <c r="A80" s="85"/>
      <c r="B80" s="85"/>
      <c r="C80" s="85"/>
      <c r="D80" s="85"/>
      <c r="E80" s="85"/>
      <c r="F80" s="85"/>
      <c r="G80" s="85"/>
      <c r="H80" s="85"/>
      <c r="I80" s="85"/>
      <c r="J80" s="85"/>
    </row>
    <row r="81" spans="1:10" ht="12" customHeight="1">
      <c r="A81" s="91"/>
      <c r="B81" s="92" t="s">
        <v>3</v>
      </c>
      <c r="C81" s="93"/>
      <c r="D81" s="93"/>
      <c r="E81" s="92" t="s">
        <v>4</v>
      </c>
      <c r="F81" s="93"/>
      <c r="G81" s="93"/>
      <c r="H81" s="92" t="s">
        <v>5</v>
      </c>
      <c r="I81" s="93"/>
      <c r="J81" s="93"/>
    </row>
    <row r="82" spans="1:10" ht="12" customHeight="1">
      <c r="A82" s="126" t="s">
        <v>17</v>
      </c>
      <c r="B82" s="94" t="s">
        <v>6</v>
      </c>
      <c r="C82" s="95" t="s">
        <v>7</v>
      </c>
      <c r="D82" s="95" t="s">
        <v>5</v>
      </c>
      <c r="E82" s="94" t="s">
        <v>6</v>
      </c>
      <c r="F82" s="95" t="s">
        <v>7</v>
      </c>
      <c r="G82" s="95" t="s">
        <v>5</v>
      </c>
      <c r="H82" s="94" t="s">
        <v>6</v>
      </c>
      <c r="I82" s="95" t="s">
        <v>7</v>
      </c>
      <c r="J82" s="95" t="s">
        <v>5</v>
      </c>
    </row>
    <row r="83" spans="1:10" ht="12" customHeight="1">
      <c r="A83" s="96"/>
      <c r="B83" s="97"/>
      <c r="C83" s="96"/>
      <c r="D83" s="96"/>
      <c r="E83" s="97"/>
      <c r="F83" s="96"/>
      <c r="G83" s="96"/>
      <c r="H83" s="97"/>
      <c r="I83" s="96"/>
      <c r="J83" s="96"/>
    </row>
    <row r="84" spans="1:10" ht="12" customHeight="1">
      <c r="A84" s="85" t="s">
        <v>18</v>
      </c>
      <c r="B84" s="98">
        <f>0</f>
        <v>0</v>
      </c>
      <c r="C84" s="99">
        <f>0</f>
        <v>0</v>
      </c>
      <c r="D84" s="99">
        <f>SUM(B84:C84)</f>
        <v>0</v>
      </c>
      <c r="E84" s="98">
        <f>0</f>
        <v>0</v>
      </c>
      <c r="F84" s="99">
        <v>22</v>
      </c>
      <c r="G84" s="99">
        <f aca="true" t="shared" si="25" ref="G84:G92">SUM(E84:F84)</f>
        <v>22</v>
      </c>
      <c r="H84" s="98">
        <f>SUM(B84,E84)</f>
        <v>0</v>
      </c>
      <c r="I84" s="99">
        <f>SUM(C84,F84)</f>
        <v>22</v>
      </c>
      <c r="J84" s="99">
        <f aca="true" t="shared" si="26" ref="J84:J92">SUM(H84:I84)</f>
        <v>22</v>
      </c>
    </row>
    <row r="85" spans="1:10" ht="12" customHeight="1">
      <c r="A85" s="85" t="s">
        <v>19</v>
      </c>
      <c r="B85" s="98">
        <f>0</f>
        <v>0</v>
      </c>
      <c r="C85" s="99">
        <v>9</v>
      </c>
      <c r="D85" s="99">
        <f aca="true" t="shared" si="27" ref="D85:D92">SUM(B85:C85)</f>
        <v>9</v>
      </c>
      <c r="E85" s="98">
        <f>0</f>
        <v>0</v>
      </c>
      <c r="F85" s="99">
        <v>40</v>
      </c>
      <c r="G85" s="99">
        <f t="shared" si="25"/>
        <v>40</v>
      </c>
      <c r="H85" s="98">
        <f aca="true" t="shared" si="28" ref="H85:I92">SUM(B85,E85)</f>
        <v>0</v>
      </c>
      <c r="I85" s="99">
        <f t="shared" si="28"/>
        <v>49</v>
      </c>
      <c r="J85" s="99">
        <f t="shared" si="26"/>
        <v>49</v>
      </c>
    </row>
    <row r="86" spans="1:10" ht="12" customHeight="1">
      <c r="A86" s="85" t="s">
        <v>20</v>
      </c>
      <c r="B86" s="98">
        <v>3</v>
      </c>
      <c r="C86" s="99">
        <v>34</v>
      </c>
      <c r="D86" s="99">
        <f t="shared" si="27"/>
        <v>37</v>
      </c>
      <c r="E86" s="98">
        <f>0</f>
        <v>0</v>
      </c>
      <c r="F86" s="99">
        <v>19</v>
      </c>
      <c r="G86" s="99">
        <f t="shared" si="25"/>
        <v>19</v>
      </c>
      <c r="H86" s="98">
        <f t="shared" si="28"/>
        <v>3</v>
      </c>
      <c r="I86" s="99">
        <f t="shared" si="28"/>
        <v>53</v>
      </c>
      <c r="J86" s="99">
        <f t="shared" si="26"/>
        <v>56</v>
      </c>
    </row>
    <row r="87" spans="1:10" ht="12" customHeight="1">
      <c r="A87" s="85" t="s">
        <v>21</v>
      </c>
      <c r="B87" s="100">
        <v>1</v>
      </c>
      <c r="C87" s="99">
        <v>36</v>
      </c>
      <c r="D87" s="99">
        <f t="shared" si="27"/>
        <v>37</v>
      </c>
      <c r="E87" s="98">
        <v>1</v>
      </c>
      <c r="F87" s="99">
        <v>10</v>
      </c>
      <c r="G87" s="99">
        <f t="shared" si="25"/>
        <v>11</v>
      </c>
      <c r="H87" s="98">
        <f t="shared" si="28"/>
        <v>2</v>
      </c>
      <c r="I87" s="99">
        <f t="shared" si="28"/>
        <v>46</v>
      </c>
      <c r="J87" s="99">
        <f t="shared" si="26"/>
        <v>48</v>
      </c>
    </row>
    <row r="88" spans="1:10" ht="12" customHeight="1">
      <c r="A88" s="85" t="s">
        <v>22</v>
      </c>
      <c r="B88" s="100">
        <v>3</v>
      </c>
      <c r="C88" s="99">
        <v>25</v>
      </c>
      <c r="D88" s="99">
        <f t="shared" si="27"/>
        <v>28</v>
      </c>
      <c r="E88" s="98">
        <v>2</v>
      </c>
      <c r="F88" s="99">
        <v>8</v>
      </c>
      <c r="G88" s="99">
        <f t="shared" si="25"/>
        <v>10</v>
      </c>
      <c r="H88" s="98">
        <f t="shared" si="28"/>
        <v>5</v>
      </c>
      <c r="I88" s="99">
        <f t="shared" si="28"/>
        <v>33</v>
      </c>
      <c r="J88" s="99">
        <f t="shared" si="26"/>
        <v>38</v>
      </c>
    </row>
    <row r="89" spans="1:10" ht="12" customHeight="1">
      <c r="A89" s="85" t="s">
        <v>23</v>
      </c>
      <c r="B89" s="100">
        <v>1</v>
      </c>
      <c r="C89" s="99">
        <v>36</v>
      </c>
      <c r="D89" s="99">
        <f t="shared" si="27"/>
        <v>37</v>
      </c>
      <c r="E89" s="98">
        <f>0</f>
        <v>0</v>
      </c>
      <c r="F89" s="99">
        <v>10</v>
      </c>
      <c r="G89" s="99">
        <f t="shared" si="25"/>
        <v>10</v>
      </c>
      <c r="H89" s="98">
        <f t="shared" si="28"/>
        <v>1</v>
      </c>
      <c r="I89" s="99">
        <f t="shared" si="28"/>
        <v>46</v>
      </c>
      <c r="J89" s="99">
        <f t="shared" si="26"/>
        <v>47</v>
      </c>
    </row>
    <row r="90" spans="1:10" ht="12" customHeight="1">
      <c r="A90" s="85" t="s">
        <v>24</v>
      </c>
      <c r="B90" s="100">
        <v>3</v>
      </c>
      <c r="C90" s="99">
        <v>46</v>
      </c>
      <c r="D90" s="99">
        <f t="shared" si="27"/>
        <v>49</v>
      </c>
      <c r="E90" s="98">
        <f>0</f>
        <v>0</v>
      </c>
      <c r="F90" s="99">
        <v>3</v>
      </c>
      <c r="G90" s="99">
        <f t="shared" si="25"/>
        <v>3</v>
      </c>
      <c r="H90" s="98">
        <f t="shared" si="28"/>
        <v>3</v>
      </c>
      <c r="I90" s="99">
        <f t="shared" si="28"/>
        <v>49</v>
      </c>
      <c r="J90" s="99">
        <f t="shared" si="26"/>
        <v>52</v>
      </c>
    </row>
    <row r="91" spans="1:10" ht="12" customHeight="1">
      <c r="A91" s="85" t="s">
        <v>25</v>
      </c>
      <c r="B91" s="100">
        <v>1</v>
      </c>
      <c r="C91" s="99">
        <v>22</v>
      </c>
      <c r="D91" s="99">
        <f t="shared" si="27"/>
        <v>23</v>
      </c>
      <c r="E91" s="98">
        <f>0</f>
        <v>0</v>
      </c>
      <c r="F91" s="99">
        <v>3</v>
      </c>
      <c r="G91" s="99">
        <f t="shared" si="25"/>
        <v>3</v>
      </c>
      <c r="H91" s="98">
        <f t="shared" si="28"/>
        <v>1</v>
      </c>
      <c r="I91" s="99">
        <f t="shared" si="28"/>
        <v>25</v>
      </c>
      <c r="J91" s="99">
        <f t="shared" si="26"/>
        <v>26</v>
      </c>
    </row>
    <row r="92" spans="1:10" ht="12" customHeight="1">
      <c r="A92" s="85" t="s">
        <v>26</v>
      </c>
      <c r="B92" s="100">
        <f>1+1</f>
        <v>2</v>
      </c>
      <c r="C92" s="99">
        <f>11+1</f>
        <v>12</v>
      </c>
      <c r="D92" s="101">
        <f t="shared" si="27"/>
        <v>14</v>
      </c>
      <c r="E92" s="98">
        <f>0</f>
        <v>0</v>
      </c>
      <c r="F92" s="99">
        <f>0</f>
        <v>0</v>
      </c>
      <c r="G92" s="101">
        <f t="shared" si="25"/>
        <v>0</v>
      </c>
      <c r="H92" s="98">
        <f t="shared" si="28"/>
        <v>2</v>
      </c>
      <c r="I92" s="99">
        <f t="shared" si="28"/>
        <v>12</v>
      </c>
      <c r="J92" s="101">
        <f t="shared" si="26"/>
        <v>14</v>
      </c>
    </row>
    <row r="93" spans="1:10" ht="12" customHeight="1">
      <c r="A93" s="102" t="s">
        <v>5</v>
      </c>
      <c r="B93" s="103">
        <f>SUM(B84:B92)</f>
        <v>14</v>
      </c>
      <c r="C93" s="104">
        <f aca="true" t="shared" si="29" ref="C93:J93">SUM(C84:C92)</f>
        <v>220</v>
      </c>
      <c r="D93" s="104">
        <f t="shared" si="29"/>
        <v>234</v>
      </c>
      <c r="E93" s="103">
        <f t="shared" si="29"/>
        <v>3</v>
      </c>
      <c r="F93" s="104">
        <f t="shared" si="29"/>
        <v>115</v>
      </c>
      <c r="G93" s="104">
        <f t="shared" si="29"/>
        <v>118</v>
      </c>
      <c r="H93" s="103">
        <f t="shared" si="29"/>
        <v>17</v>
      </c>
      <c r="I93" s="104">
        <f t="shared" si="29"/>
        <v>335</v>
      </c>
      <c r="J93" s="104">
        <f t="shared" si="29"/>
        <v>352</v>
      </c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75" r:id="rId1"/>
  <headerFooter alignWithMargins="0">
    <oddFooter>&amp;R&amp;A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Unknown</cp:lastModifiedBy>
  <cp:lastPrinted>2013-07-31T13:51:38Z</cp:lastPrinted>
  <dcterms:created xsi:type="dcterms:W3CDTF">1999-11-09T10:39:54Z</dcterms:created>
  <dcterms:modified xsi:type="dcterms:W3CDTF">2014-03-03T15:45:27Z</dcterms:modified>
  <cp:category/>
  <cp:version/>
  <cp:contentType/>
  <cp:contentStatus/>
</cp:coreProperties>
</file>