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7776" windowHeight="8172" tabRatio="767" activeTab="0"/>
  </bookViews>
  <sheets>
    <sheet name="INHOUD" sheetId="1" r:id="rId1"/>
    <sheet name="TOELICHTING" sheetId="2" r:id="rId2"/>
    <sheet name="15PALG01" sheetId="3" r:id="rId3"/>
    <sheet name="15PALG02" sheetId="4" r:id="rId4"/>
    <sheet name="15PALG03" sheetId="5" r:id="rId5"/>
    <sheet name="15PALG04" sheetId="6" r:id="rId6"/>
    <sheet name="15PALG05" sheetId="7" r:id="rId7"/>
    <sheet name="15PALG06" sheetId="8" r:id="rId8"/>
    <sheet name="15PALG07" sheetId="9" r:id="rId9"/>
    <sheet name="15PALG08" sheetId="10" r:id="rId10"/>
    <sheet name="15PALG9" sheetId="11" r:id="rId11"/>
    <sheet name="15PALG10" sheetId="12" r:id="rId12"/>
    <sheet name="15PALG11" sheetId="13" r:id="rId13"/>
    <sheet name="15PALG12" sheetId="14" r:id="rId14"/>
  </sheets>
  <definedNames>
    <definedName name="_xlnm.Print_Area" localSheetId="3">'15PALG02'!$A$1:$I$65</definedName>
    <definedName name="_xlnm.Print_Area" localSheetId="4">'15PALG03'!$A$1:$I$72</definedName>
    <definedName name="_xlnm.Print_Area" localSheetId="7">'15PALG06'!$A$1:$S$76</definedName>
    <definedName name="_xlnm.Print_Area" localSheetId="9">'15PALG08'!$A$1:$I$66</definedName>
    <definedName name="_xlnm.Print_Area" localSheetId="11">'15PALG10'!$A$1:$S$85</definedName>
    <definedName name="_xlnm.Print_Area" localSheetId="12">'15PALG11'!$A$1:$S$77</definedName>
    <definedName name="_xlnm.Print_Area" localSheetId="13">'15PALG12'!$A$1:$I$72</definedName>
  </definedNames>
  <calcPr fullCalcOnLoad="1"/>
</workbook>
</file>

<file path=xl/sharedStrings.xml><?xml version="1.0" encoding="utf-8"?>
<sst xmlns="http://schemas.openxmlformats.org/spreadsheetml/2006/main" count="920" uniqueCount="169">
  <si>
    <t xml:space="preserve"> </t>
  </si>
  <si>
    <t xml:space="preserve">PERSONEEL PER ONDERWIJSNIVEAU </t>
  </si>
  <si>
    <t>Bestuurs- en onderwijzend personeel</t>
  </si>
  <si>
    <t>Andere personeelscategorieën</t>
  </si>
  <si>
    <t>Totaal</t>
  </si>
  <si>
    <t>Mannen</t>
  </si>
  <si>
    <t>Vrouwen</t>
  </si>
  <si>
    <t>Gewoon basisonderwijs</t>
  </si>
  <si>
    <t xml:space="preserve">  Privaatrechtelijk</t>
  </si>
  <si>
    <t xml:space="preserve">  Provincie</t>
  </si>
  <si>
    <t xml:space="preserve">  Gemeente</t>
  </si>
  <si>
    <t>Buitengewoon basisonderwijs</t>
  </si>
  <si>
    <t>Gewoon secundair onderwijs</t>
  </si>
  <si>
    <t>Buitengewoon secundair onderwijs</t>
  </si>
  <si>
    <t>Hogescholenonderwijs</t>
  </si>
  <si>
    <t>Deeltijds kunstonderwijs</t>
  </si>
  <si>
    <t xml:space="preserve">  Vlaamse Gemeenschap</t>
  </si>
  <si>
    <t>BESTUURS- EN ONDERWIJZEND PERSONEEL PER ONDERWIJSNIVEAU, NAAR STATUUT</t>
  </si>
  <si>
    <t xml:space="preserve">  Vastbenoemden</t>
  </si>
  <si>
    <t xml:space="preserve">  Tijdelijken</t>
  </si>
  <si>
    <t>ANDERE PERSONEELSCATEGORIEËN PER ONDERWIJSNIVEAU, NAAR STATUUT</t>
  </si>
  <si>
    <t>(2) Personeel van centra voor leerlingenbegeleiding, onderwijsinspectie, pedagogische begeleiding, internaten, ...</t>
  </si>
  <si>
    <t>PERSONEEL PER ONDERWIJSNIVEAU</t>
  </si>
  <si>
    <t>BESTUURS- EN ONDERWIJZEND PERSONEEL NAAR LEEFTIJD, STATUUT EN GESLACHT</t>
  </si>
  <si>
    <t>Vastbenoemden</t>
  </si>
  <si>
    <t>Tijdelijken</t>
  </si>
  <si>
    <t>Leeftijd</t>
  </si>
  <si>
    <t>20-24</t>
  </si>
  <si>
    <t>25-29</t>
  </si>
  <si>
    <t>30-34</t>
  </si>
  <si>
    <t>35-39</t>
  </si>
  <si>
    <t>40-44</t>
  </si>
  <si>
    <t>45-49</t>
  </si>
  <si>
    <t>50-54</t>
  </si>
  <si>
    <t>55-59</t>
  </si>
  <si>
    <t>60+</t>
  </si>
  <si>
    <t>Aantal personen met volledige opdracht</t>
  </si>
  <si>
    <t>Aantal personen met gedeeltelijke opdracht</t>
  </si>
  <si>
    <t>BESTUURS- EN ONDERWIJZEND PERSONEEL PER ONDERWIJSNIVEAU, NAARGELANG DE OPDRACHT</t>
  </si>
  <si>
    <t>ANDERE PERSONEELSCATEGORIEËN NAAR LEEFTIJD, STATUUT EN GESLACHT</t>
  </si>
  <si>
    <t>(1) Inclusief personeel van centra voor leerlingenbegeleiding, onderwijsinspectie, pedagogische begeleiding, internaten, ...</t>
  </si>
  <si>
    <t>Andere (2)</t>
  </si>
  <si>
    <t xml:space="preserve">  Gemeenschapsonderwijs</t>
  </si>
  <si>
    <t>Totaal bestuurs- en</t>
  </si>
  <si>
    <t xml:space="preserve">   2006-2007</t>
  </si>
  <si>
    <t>ANDERE PERSONEELSCATEGORIEËN PER ONDERWIJSNIVEAU, NAARGELANG DE OPDRACHT</t>
  </si>
  <si>
    <t>Secundair volwassenenonderwijs</t>
  </si>
  <si>
    <t>Hoger beroepsonderwijs van het volwassenenonderwijs</t>
  </si>
  <si>
    <t>2008-2009</t>
  </si>
  <si>
    <t xml:space="preserve">Aantal personen (inclusief alle vervangingen, TBS+ en Bonus) - januari </t>
  </si>
  <si>
    <t>Basiseducatie</t>
  </si>
  <si>
    <t>2009-2010</t>
  </si>
  <si>
    <t xml:space="preserve">   2009-2010</t>
  </si>
  <si>
    <t>PERSONEEL</t>
  </si>
  <si>
    <t>Budgettaire fulltime-equivalenten</t>
  </si>
  <si>
    <t xml:space="preserve">Personeel per onderwijsniveau </t>
  </si>
  <si>
    <t>Bestuurs- en onderwijzend personeel per onderwijsniveau, naar statuut</t>
  </si>
  <si>
    <t>Andere personeelscategorieën per onderwijsniveau, naar statuut</t>
  </si>
  <si>
    <t>Aantal personen</t>
  </si>
  <si>
    <t>Personeel per onderwijsniveau</t>
  </si>
  <si>
    <t>Bestuurs- en onderwijzend personeel naar leeftijd, statuut en geslacht</t>
  </si>
  <si>
    <t>Bestuurs- en onderwijzend personeel per onderwijsniveau, naargelang de opdracht</t>
  </si>
  <si>
    <t>Andere personeelscategorieën naar leeftijd, statuut en geslacht</t>
  </si>
  <si>
    <t>Andere personeelscategorieën per onderwijsniveau naargelang de opdracht</t>
  </si>
  <si>
    <t>(1) Zie toelichting op het tweede tabblad van deze werkmap.</t>
  </si>
  <si>
    <t>Totaal andere</t>
  </si>
  <si>
    <t xml:space="preserve">Aantal personen (inclusief alle vervangingen, TBS+ en Bonus) -  januari </t>
  </si>
  <si>
    <t>2010-2011</t>
  </si>
  <si>
    <t>2011-2012</t>
  </si>
  <si>
    <t>2012-2013</t>
  </si>
  <si>
    <t xml:space="preserve">Aantal budgettaire fulltime-equivalenten (inclusief alle vervangingen, TBS+ en Bonus) - januari  </t>
  </si>
  <si>
    <t xml:space="preserve">Aantal personen met gedeeltelijke opdracht </t>
  </si>
  <si>
    <t xml:space="preserve">Aantal personen met volledige opdracht </t>
  </si>
  <si>
    <t xml:space="preserve">   2012-2013 </t>
  </si>
  <si>
    <t xml:space="preserve">   2012-2013</t>
  </si>
  <si>
    <t>HBO5 verpleegkunde (1)</t>
  </si>
  <si>
    <t>BESTUURS- EN ONDERWIJZEND PERSONEEL PER ONDERWIJSNIVEAU EN SOORT SCHOOLBESTUUR, NAARGELANG DE OPDRACHT</t>
  </si>
  <si>
    <t>ANDERE PERSONEELSCATEGORIEËN PER ONDERWIJSNIVEAU EN SOORT SCHOOLBESTUUR, NAARGELANG DE OPDRACHT</t>
  </si>
  <si>
    <t>Andere personeelscategorieën per onderwijsniveau en soort schoolbestuur, naargelang de opdracht</t>
  </si>
  <si>
    <t>Bestuurs- en onderwijzend personeel per onderwijsniveau en soort schoolbestuur, naargelang de opdracht</t>
  </si>
  <si>
    <t>2013-2014</t>
  </si>
  <si>
    <t>TOELICHTING ONDERWIJSPERSONEEL</t>
  </si>
  <si>
    <t xml:space="preserve">In de personeelsstatistieken wordt enkel het personeel geregistreerd dat ofwel rechtstreeks door het Beleidsdomein Onderwijs en Vorming wordt betaald, ofwel waarvan de lonen ten laste zijn van de werkingsenveloppe van het hoger onderwijs. Dit impliceert dat het meester-, vak- en dienstpersoneel van het gesubsidieerd onderwijs niet opgenomen is in de statistieken. De gesubsidieerde contractuelen worden ook buiten beschouwing gelaten, omdat deze personeelsleden niet volledig door het Beleidsdomein Onderwijs en Vorming worden betaald. </t>
  </si>
  <si>
    <r>
      <t>Bestuurs- en onderwijzend personeel</t>
    </r>
    <r>
      <rPr>
        <b/>
        <u val="single"/>
        <sz val="10"/>
        <color indexed="8"/>
        <rFont val="Arial"/>
        <family val="2"/>
      </rPr>
      <t xml:space="preserve"> en</t>
    </r>
    <r>
      <rPr>
        <b/>
        <i/>
        <u val="single"/>
        <sz val="10"/>
        <color indexed="8"/>
        <rFont val="Arial"/>
        <family val="2"/>
      </rPr>
      <t xml:space="preserve"> andere personeelscategorieën</t>
    </r>
  </si>
  <si>
    <r>
      <t xml:space="preserve">Het </t>
    </r>
    <r>
      <rPr>
        <i/>
        <sz val="10"/>
        <color indexed="8"/>
        <rFont val="Arial"/>
        <family val="2"/>
      </rPr>
      <t xml:space="preserve">bestuurspersoneel </t>
    </r>
    <r>
      <rPr>
        <sz val="10"/>
        <color indexed="8"/>
        <rFont val="Arial"/>
        <family val="2"/>
      </rPr>
      <t xml:space="preserve">bestaat uit directeurs en adjunct-directeurs en nog enkele andere ambten. Het </t>
    </r>
    <r>
      <rPr>
        <i/>
        <sz val="10"/>
        <color indexed="8"/>
        <rFont val="Arial"/>
        <family val="2"/>
      </rPr>
      <t xml:space="preserve">onderwijzend personeel </t>
    </r>
    <r>
      <rPr>
        <sz val="10"/>
        <color indexed="8"/>
        <rFont val="Arial"/>
        <family val="2"/>
      </rPr>
      <t xml:space="preserve">vervult effectief een lesopdracht of is terbeschikkinggesteld voorafgaand aan het rustpensioen of neemt een bonus. </t>
    </r>
  </si>
  <si>
    <t>Niet voor alle personeelscategorieën kan een onderscheid gemaakt worden tussen 'secundair onderwijs' en 'HBO5 verpleegkunde'. In de tabellen betekent dit het volgende:</t>
  </si>
  <si>
    <r>
      <t>Fysieke personen</t>
    </r>
    <r>
      <rPr>
        <b/>
        <u val="single"/>
        <sz val="10"/>
        <color indexed="8"/>
        <rFont val="Arial"/>
        <family val="2"/>
      </rPr>
      <t xml:space="preserve"> en </t>
    </r>
    <r>
      <rPr>
        <b/>
        <i/>
        <u val="single"/>
        <sz val="10"/>
        <color indexed="8"/>
        <rFont val="Arial"/>
        <family val="2"/>
      </rPr>
      <t>budgettaire fulltime-equivalenten</t>
    </r>
  </si>
  <si>
    <r>
      <t xml:space="preserve">De personeelsleden worden uitgedrukt in aantal </t>
    </r>
    <r>
      <rPr>
        <i/>
        <sz val="10"/>
        <color indexed="8"/>
        <rFont val="Arial"/>
        <family val="2"/>
      </rPr>
      <t xml:space="preserve">fysieke personen </t>
    </r>
    <r>
      <rPr>
        <sz val="10"/>
        <color indexed="8"/>
        <rFont val="Arial"/>
        <family val="2"/>
      </rPr>
      <t xml:space="preserve">en aantal </t>
    </r>
    <r>
      <rPr>
        <i/>
        <sz val="10"/>
        <color indexed="8"/>
        <rFont val="Arial"/>
        <family val="2"/>
      </rPr>
      <t>budgettaire fulltime-equivalenten</t>
    </r>
    <r>
      <rPr>
        <sz val="10"/>
        <color indexed="8"/>
        <rFont val="Arial"/>
        <family val="2"/>
      </rPr>
      <t xml:space="preserve">. Er wordt rekening gehouden met korte vervangingen. Alle vervangingen zitten dus in de tabellen fysieke personen en budgettaire fulltime-equivalenten. </t>
    </r>
  </si>
  <si>
    <r>
      <t xml:space="preserve">De </t>
    </r>
    <r>
      <rPr>
        <i/>
        <sz val="10"/>
        <color indexed="8"/>
        <rFont val="Arial"/>
        <family val="2"/>
      </rPr>
      <t>fysieke personen</t>
    </r>
    <r>
      <rPr>
        <sz val="10"/>
        <color indexed="8"/>
        <rFont val="Arial"/>
        <family val="2"/>
      </rPr>
      <t xml:space="preserve"> worden geregistreerd in het onderwijsniveau en -net waar zij de grootste les-opdracht hebben. </t>
    </r>
  </si>
  <si>
    <r>
      <t xml:space="preserve">De </t>
    </r>
    <r>
      <rPr>
        <i/>
        <sz val="10"/>
        <color indexed="8"/>
        <rFont val="Arial"/>
        <family val="2"/>
      </rPr>
      <t>budgettaire fulltime-equivalenten</t>
    </r>
    <r>
      <rPr>
        <sz val="10"/>
        <color indexed="8"/>
        <rFont val="Arial"/>
        <family val="2"/>
      </rPr>
      <t xml:space="preserve"> zijn het resultaat van de sommatie van alle deelopdrachten</t>
    </r>
    <r>
      <rPr>
        <b/>
        <sz val="10"/>
        <color indexed="8"/>
        <rFont val="Arial"/>
        <family val="2"/>
      </rPr>
      <t xml:space="preserve"> </t>
    </r>
    <r>
      <rPr>
        <sz val="10"/>
        <color indexed="8"/>
        <rFont val="Arial"/>
        <family val="2"/>
      </rPr>
      <t xml:space="preserve">van alle personeelsleden (m.a.w. met inbegrip van de vervangingen van minder dan een jaar). </t>
    </r>
  </si>
  <si>
    <r>
      <t xml:space="preserve">Voor het universitair onderwijs zijn de gastprofessoren, de vervroegd gepensioneerden en de gepensioneerde ZAP-leden die als bezoldigd emeritus verder blijven werken ten laste van de werkingsuitkeringen </t>
    </r>
    <r>
      <rPr>
        <u val="single"/>
        <sz val="10"/>
        <color indexed="8"/>
        <rFont val="Arial"/>
        <family val="2"/>
      </rPr>
      <t>niet</t>
    </r>
    <r>
      <rPr>
        <sz val="10"/>
        <color indexed="8"/>
        <rFont val="Arial"/>
        <family val="2"/>
      </rPr>
      <t xml:space="preserve"> in het cijfermateriaal van het aantal fulltime-equivalenten opgenomen.</t>
    </r>
  </si>
  <si>
    <t>Bestuurspersoneel</t>
  </si>
  <si>
    <t>Terbeschikkingstelling voorafgaand aan het rustpensioen</t>
  </si>
  <si>
    <t>Er worden aparte tabellen opgenomen met de terbeschikkingstelling voorafgaand aan het rustpensioen en de  bonus voor bestuurspersoneel, bestuurs- en onderwijzend personeel en 'andere' personeelscategorieën. In de gewone tabellen van bestuurspersoneel, bestuurs- en onderwijzend personeel en 'andere' personeel zitten de terbeschikkinggestelden voorafgaand aan  het rustpensioen en diegenen met bonus vervat. Vanaf het schooljaar  2012-2013 geldt een nieuwe regeling.</t>
  </si>
  <si>
    <t>De regeling inzake TBS voorafgaand aan het pensioen voor het personeel van de hogescholen, al dan niet via de bonusregeling, hangt af van de geboortedatum van het betrokken personeelslid:</t>
  </si>
  <si>
    <t>Regeling voor het Hoger onderwijs</t>
  </si>
  <si>
    <t>Personeelsleden geboren vanaf 1 oktober 1952 en voor 1 april 1954 :</t>
  </si>
  <si>
    <t xml:space="preserve">   </t>
  </si>
  <si>
    <t>Personeelsleden geboren vanaf 1 april 1954 en voor 1 januari 1957 :</t>
  </si>
  <si>
    <t>Ook deze personeelsleden kunnen ten vroegste twee jaar voor zij recht hebben op een pensioen ten laste van de schatkist in de TBS-regeling instappen maar voor deze personeelsleden geldt er een vermindering van het wachtgeld. Wanneer de volledige gerechtigde periode van TBS wordt opgenomen, bedraagt het wachtgeld 75% van het wachtgeld volgens artikel 7 van het BVR van 22 februari 2002; wanneer ten hoogste 1 jaar TBS wordt genomen, bedraagt het wachtgeld 77,5% van het wachtgeld volgens artikel 7.</t>
  </si>
  <si>
    <t>Personeelsleden geboren vanaf 1 januari 1957 en voor 1 januari 1958 :</t>
  </si>
  <si>
    <t>Deze personeelsleden kunnen 1 jaar voor zij recht hebben op een pensioen ten laste van de schatkist in de TBS-regeling stappen, waarbij het wachtgeld wordt verminderd tot 75% van het wachtgeld volgens artikel 7 van het BVR van 22 februari 2002.</t>
  </si>
  <si>
    <t>Personeelsleden geboren vanaf 1 januari 1958 of later :</t>
  </si>
  <si>
    <t>Deze personeelsleden hebben geen recht meer op een TBS.</t>
  </si>
  <si>
    <t>Regeling voor ander onderwijs dan Hoger onderwijs</t>
  </si>
  <si>
    <t>Generieke regeling</t>
  </si>
  <si>
    <t>Overgangsregeling</t>
  </si>
  <si>
    <t>Wie nog kan genieten van de zgn. bonusregeling, kan deze vanaf 1 april 2012 nog opnemen, maar de start van deze bonus schuift op met de pensioenleeftijd.</t>
  </si>
  <si>
    <t>Wachtgeld</t>
  </si>
  <si>
    <t>De tabel met betrekking tot de 'professionele  bachelors voor het onderwijs' en de 'masters'  wordt gebaseerd op de door de betrokkenen behaalde diploma's. (Zie deel 4 Personeel, hoofdstuk 3 Secundair onderwijs, 3,1 Budgettaire fulltime-equivalenten)</t>
  </si>
  <si>
    <r>
      <t xml:space="preserve">Binnen het onderwijspersoneel wordt een onderscheid gemaakt tussen enerzijds het </t>
    </r>
    <r>
      <rPr>
        <i/>
        <sz val="10"/>
        <color indexed="8"/>
        <rFont val="Arial"/>
        <family val="2"/>
      </rPr>
      <t>bestuurs- en onderwijzend personeel en anderzijds andere personeelscategorieën.</t>
    </r>
  </si>
  <si>
    <t>Voor alle personeelsleden m.u.v. de kleuteronderwijzers geboren voor 1 september 1954 en voor alle kleuteronderwijzers geboren voor 1 april 1956 blijft het wachtgeld ongewijzigd. Voor alle overige personeelsleden wordt het wachtgeld gedifferentieerd verminderd in functie van de duurtijd dat de TBS genomen worden, waarbij de vermindering tussen 17,5% en 25% bedraagt.   </t>
  </si>
  <si>
    <t xml:space="preserve"> - bestuurs- en onderwijzend personeel: het bestuurs- en onderwijzend personeel van de 4 scholen + het onderwijzend personeel van de 16 scholen waar zowel voltijds secundair onderwijs als HBO5-verpleegkunde werd ingericht, zijn in de data van HBO5 verpleegkunde vervat. Het bestuurspersoneel van deze 16 scholen is inbegrepen in de data van het voltijds gewoon secundair onderwijs.</t>
  </si>
  <si>
    <t xml:space="preserve"> - andere personeelscategorieën: 'andere personeelscategorieën' bevat voor HBO5 verpleegkunde enkel de gegevens van de 4 scholen die alleen HBO5 verpleegkunde inrichtten. De 'andere personeelscategorieën' van de 16 scholen waar zowel voltijds secundair onderwijs als HBO5 verpleegkunde werd ingericht, zijn meegeteld in de tabellen van het secundair onderwijs. </t>
  </si>
  <si>
    <t>2014-2015</t>
  </si>
  <si>
    <t>In het kader van de integratieprocedure van het onderwijs van het lange type van de hogescholen in het universitair onderwijs, zijn de personeelsleden van het integratiekader die door de Katholieke Universiteit Leuven en de Universiteit Gent zelf worden betaald vanaf 1 januari 2014 niet meer in de personeelsstatistieken van het hogescholenonderwijs opgenomen. In tegenstelling tot het academiejaar 2013-2014 zijn de personeelsleden van het integratiekader van de andere universiteiten niet meer in de statistieken van het personeel van de hogescholen opgenomen vanaf het academiejaar 2014-2015. Dit om dubbeltellingen te vermijden, want deze personeelsleden worden reeds vermeld in de tabellen van de universiteiten.</t>
  </si>
  <si>
    <t xml:space="preserve">Personeelsleden geboren vóór 1 oktober 1952 : </t>
  </si>
  <si>
    <t xml:space="preserve">Kleuteronderwijzers die geboren zijn vóór 1 januari 1958 kunnen nog 4 jaar TBS opnemen vóór de datum waarop zij recht hebben op een pensioen (P) ten laste van de Openbare schatkist (P-4). De overige personeelsleden  die geboren zijn voor 1 januari 1959 hebben recht op 3 jaar TBS (P-3). </t>
  </si>
  <si>
    <t>Voor alle andere personeelscategorieën, met uitzondering van de kleuteronderwijzers, is een gelijk-aardige overgangsregeling vastgelegd. Hier bestaat de overgang uit 2 jaar TBS (P-2) indien de personeelsleden geboren zijn vóór 1 januari 1957 en 1 jaar TBS (P-1) indien geboren voor 1 januari 1958.</t>
  </si>
  <si>
    <t xml:space="preserve">De kleuteronderwijzers die geboren zijn vanaf 1 januari 1959, hebben nog 2 jaar recht op een TBS. Voor de overige personeelsleden (alle personeelsleden met uitzondering van de kleuteronderwijzers) die geboren zijn vanaf 1 januari 1958, wordt de TBS afgeschaft. In afwachting dat de voormelde maatregelen van kracht worden, is er een overgangsregeling voorzien die de duur van de TBS gradueel afbouwt. </t>
  </si>
  <si>
    <t xml:space="preserve">Er worden afzonderlijke detailtabellen opgenomen met het bestuurspersoneel (Zie deel 4 Personeel, hoofdstuk 1 Algemeen overzicht, 1.3 Bestuurspersoneel).  In de tabellen van het bestuurs- en  onderwijzend personeel zit het bestuurspersoneel nog inbegrepen. Er wordt voor het volwassenonderwijs gebruik gemaakt van een nieuwe databank. </t>
  </si>
  <si>
    <t>Bij het volwassenonderwijs worden bij het 'bestuurspersoneel uitgedrukt in aantallen personen' enkel de personeelsleden in rekening gebracht die een budgettaire fulltime hebben van ten minste 50%. Op die manier wordt de vergelijkbaarheid met de vroegere databank gegarandeerd.</t>
  </si>
  <si>
    <t>Schooljaar 2015-2016</t>
  </si>
  <si>
    <t xml:space="preserve">Aantal budgettaire fulltime-equivalenten (inclusief alle vervangingen, TBS+ en Bonus) - januari 2016 </t>
  </si>
  <si>
    <t>2015-2016</t>
  </si>
  <si>
    <t>Totaal bestuurs- en onderwijzend personeel</t>
  </si>
  <si>
    <t xml:space="preserve">Totaal andere personeelscategorieën </t>
  </si>
  <si>
    <t>Aantal personen (inclusief alle vervangingen, TBS+ en Bonus) -  januari 2016</t>
  </si>
  <si>
    <t xml:space="preserve">Algemeen totaal </t>
  </si>
  <si>
    <t>Aantal personen (inclusief alle vervangingen, TBS+ en Bonus) - januari 2016</t>
  </si>
  <si>
    <t xml:space="preserve">ALLE ONDERWIJSNIVEAUS </t>
  </si>
  <si>
    <t xml:space="preserve">onderwijzend personeel </t>
  </si>
  <si>
    <t xml:space="preserve">   2015-2016</t>
  </si>
  <si>
    <t>ALLE ONDERWIJSNIVEAUS  (1)</t>
  </si>
  <si>
    <t xml:space="preserve">Totaal bestuurs- en onderwijzend personeel </t>
  </si>
  <si>
    <t>Het personeel dat geniet van het stelsel 'terbeschikkingstelling voorafgaand aan het rustpensioen' (TBS+) is opgenomen in deze statistieken. Alle personeelsgegevens hebben betrekking op de maand januari, zoals gekend in juni 2016.</t>
  </si>
  <si>
    <t xml:space="preserve">Het hoger beroepsonderwijs behoort juridisch tot het hoger onderwijs. Hoger beroepsonderwijs kan worden ingericht door centra voor volwassenenonderwijs, hogescholen en scholen voor voltijds secundair onderwijs (HBO5-verpleegkunde). In 2015-2016 werd nog geen personeel hoger beroepsonderwijs betaald in de hogescholen. </t>
  </si>
  <si>
    <t xml:space="preserve">Op 1 september 2009 werd de vierde graad verpleegkunde afgesplitst van het secundair onderwijs en ondergebracht in het hoger beroepsonderwijs (HBO5). In 2015-2016 waren er 20 secundaire scholen die HBO5 verpleegkunde inrichtten. Vier daarvan richtten enkel HBO5 verpleegkunde in. De overige zestien scholen richtten, naast HBO5-verpleegkunde, ook (en hoofdzakelijk) voltijds gewoon secundair onderwijs in. </t>
  </si>
  <si>
    <t>Deze personeelsleden kunnen gebruik maken van de bonusregeling zoals vermeld in hoofdstuk II, afdeling 2 van het besluit van 22 februari 2002  betreffende de terbeschikkingstelling wegens persoonlijke aangelegenheden voorafgaand aan het rustpensioen voor de personeelsleden van de hogescholen in de Vlaamse Gemeenschap en van de Hogere Zeevaartschool. Aan deze regeling is niets gewijzigd.</t>
  </si>
  <si>
    <t>Deze personeelsleden kunnen ten vroegste twee jaar voor zij recht hebben op een pensioen ten laste van de schatkist in de TBS-regeling instappen. De berekening van het wachtgeld gebeurt volgens de gewone regels.</t>
  </si>
  <si>
    <r>
      <t xml:space="preserve">De </t>
    </r>
    <r>
      <rPr>
        <i/>
        <sz val="10"/>
        <color indexed="8"/>
        <rFont val="Arial"/>
        <family val="2"/>
      </rPr>
      <t>andere personeelscategorieën</t>
    </r>
    <r>
      <rPr>
        <sz val="10"/>
        <color indexed="8"/>
        <rFont val="Arial"/>
        <family val="2"/>
      </rPr>
      <t xml:space="preserve"> bestaan uit het administratief personeel, het werkliedenpersoneel van het gemeenschapsonderwijs, het opvoedend hulppersoneel, het paramedisch personeel, het CLB- personeel, het inspectiepersoneel, het personeel pedagogische begeleiding, het personeel van de internaten en ook de kinderverzorgsters van het kleuteronderwijs.</t>
    </r>
  </si>
  <si>
    <r>
      <t xml:space="preserve">Voor het hogescholenonderwijs zijn de lesopdrachten van de gastprofessoren en de mandaats-vergoedingen </t>
    </r>
    <r>
      <rPr>
        <u val="single"/>
        <sz val="10"/>
        <color indexed="8"/>
        <rFont val="Arial"/>
        <family val="2"/>
      </rPr>
      <t>niet</t>
    </r>
    <r>
      <rPr>
        <sz val="10"/>
        <color indexed="8"/>
        <rFont val="Arial"/>
        <family val="2"/>
      </rPr>
      <t xml:space="preserve"> opgenomen in de budgettaire fulltimes. Naast de detailgegevens voor het schooljaar 2015-2016 is er ook een historische reeks weer-gegeven vanaf het schooljaar 2006-2007.Door een staking in de maand januari 2012 kunnen de vermelde budgettaire fulltime-equivalenten voor januari 2012 lager uitvallen dan normaal.</t>
    </r>
  </si>
  <si>
    <t>Voor het bestuurs-en onderwijzend personeel en de andere personeelscategorieën zijn het aantal personen opgelijst die 60 jaar of ouder zijn en die nog werkzaam zijn in het onderwijs.</t>
  </si>
  <si>
    <r>
      <t>BESTUURS- EN ONDERWIJZEND PERSONEEL NAAR LEEFTIJD (</t>
    </r>
    <r>
      <rPr>
        <b/>
        <u val="single"/>
        <sz val="10"/>
        <rFont val="Arial"/>
        <family val="2"/>
      </rPr>
      <t>60 jaar of ouder</t>
    </r>
    <r>
      <rPr>
        <b/>
        <sz val="10"/>
        <rFont val="Arial"/>
        <family val="2"/>
      </rPr>
      <t>), STATUUT EN GESLACHT</t>
    </r>
  </si>
  <si>
    <r>
      <t>ANDERE PERSONEELSCATEGORIEËN NAAR LEEFTIJD (</t>
    </r>
    <r>
      <rPr>
        <b/>
        <u val="single"/>
        <sz val="10"/>
        <rFont val="Arial"/>
        <family val="2"/>
      </rPr>
      <t>60 jaar of ouder</t>
    </r>
    <r>
      <rPr>
        <b/>
        <sz val="10"/>
        <rFont val="Arial"/>
        <family val="2"/>
      </rPr>
      <t>), STATUUT EN GESLACHT</t>
    </r>
  </si>
  <si>
    <t>15PALG01</t>
  </si>
  <si>
    <t>15PALG02</t>
  </si>
  <si>
    <t>15PALG03</t>
  </si>
  <si>
    <t>15PALG04</t>
  </si>
  <si>
    <t>15PALG05</t>
  </si>
  <si>
    <t>15PALG06</t>
  </si>
  <si>
    <t>15PALG07</t>
  </si>
  <si>
    <t>15PALG08</t>
  </si>
  <si>
    <t>15PALG09</t>
  </si>
  <si>
    <t>15PALG10</t>
  </si>
  <si>
    <t>15PALG11</t>
  </si>
  <si>
    <t>15PALG12</t>
  </si>
  <si>
    <t>60, exclusief TBS, bonus</t>
  </si>
  <si>
    <t>61, exclusief TBS, bonus</t>
  </si>
  <si>
    <t>62, exclusief TBS, bonus</t>
  </si>
  <si>
    <t>63, exclusief TBS, bonus</t>
  </si>
  <si>
    <t>64, exclusief TBS, bonus</t>
  </si>
  <si>
    <t>65, exclusief TBS, bonus</t>
  </si>
  <si>
    <t>66, exclusief TBS, bonus</t>
  </si>
  <si>
    <t>67, exclusief TBS, bonus</t>
  </si>
  <si>
    <t>68+, exclusief TBS, bonus</t>
  </si>
  <si>
    <t>60-65, TBS, bonus</t>
  </si>
  <si>
    <r>
      <t xml:space="preserve">Aantal personen (inclusief alle vervangingen, </t>
    </r>
    <r>
      <rPr>
        <b/>
        <sz val="10"/>
        <rFont val="Arial"/>
        <family val="2"/>
      </rPr>
      <t>TBS+ en Bonus) - januari 2016</t>
    </r>
  </si>
  <si>
    <t>personeelscategorieën</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</si>
</sst>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
    <numFmt numFmtId="166" formatCode="0.000000"/>
    <numFmt numFmtId="167" formatCode="#,##0.0"/>
    <numFmt numFmtId="168" formatCode="0.000%"/>
    <numFmt numFmtId="169" formatCode="0.0%"/>
    <numFmt numFmtId="170" formatCode="0.0000%"/>
  </numFmts>
  <fonts count="64">
    <font>
      <sz val="10"/>
      <name val="Arial"/>
      <family val="0"/>
    </font>
    <font>
      <sz val="11"/>
      <color indexed="8"/>
      <name val="Calibri"/>
      <family val="2"/>
    </font>
    <font>
      <b/>
      <sz val="10"/>
      <name val="Arial"/>
      <family val="2"/>
    </font>
    <font>
      <sz val="10"/>
      <name val="MS Sans Serif"/>
      <family val="2"/>
    </font>
    <font>
      <sz val="9"/>
      <name val="Arial"/>
      <family val="2"/>
    </font>
    <font>
      <sz val="10"/>
      <name val="Helv"/>
      <family val="0"/>
    </font>
    <font>
      <sz val="10"/>
      <name val="Optimum"/>
      <family val="0"/>
    </font>
    <font>
      <u val="single"/>
      <sz val="10"/>
      <color indexed="12"/>
      <name val="Arial"/>
      <family val="2"/>
    </font>
    <font>
      <sz val="8"/>
      <name val="Arial"/>
      <family val="2"/>
    </font>
    <font>
      <b/>
      <sz val="12"/>
      <name val="Arial"/>
      <family val="2"/>
    </font>
    <font>
      <sz val="12"/>
      <name val="Times New Roman"/>
      <family val="1"/>
    </font>
    <font>
      <sz val="10"/>
      <color indexed="8"/>
      <name val="Arial"/>
      <family val="2"/>
    </font>
    <font>
      <b/>
      <i/>
      <u val="single"/>
      <sz val="10"/>
      <color indexed="8"/>
      <name val="Arial"/>
      <family val="2"/>
    </font>
    <font>
      <b/>
      <u val="single"/>
      <sz val="10"/>
      <color indexed="8"/>
      <name val="Arial"/>
      <family val="2"/>
    </font>
    <font>
      <i/>
      <sz val="10"/>
      <color indexed="8"/>
      <name val="Arial"/>
      <family val="2"/>
    </font>
    <font>
      <b/>
      <sz val="10"/>
      <color indexed="8"/>
      <name val="Arial"/>
      <family val="2"/>
    </font>
    <font>
      <u val="single"/>
      <sz val="10"/>
      <color indexed="8"/>
      <name val="Arial"/>
      <family val="2"/>
    </font>
    <font>
      <b/>
      <u val="single"/>
      <sz val="10"/>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sz val="18"/>
      <color indexed="62"/>
      <name val="Cambria"/>
      <family val="2"/>
    </font>
    <font>
      <b/>
      <sz val="11"/>
      <color indexed="8"/>
      <name val="Calibri"/>
      <family val="2"/>
    </font>
    <font>
      <b/>
      <sz val="11"/>
      <color indexed="63"/>
      <name val="Calibri"/>
      <family val="2"/>
    </font>
    <font>
      <i/>
      <sz val="11"/>
      <color indexed="23"/>
      <name val="Calibri"/>
      <family val="2"/>
    </font>
    <font>
      <b/>
      <sz val="14"/>
      <color indexed="8"/>
      <name val="Arial"/>
      <family val="2"/>
    </font>
    <font>
      <b/>
      <i/>
      <sz val="10"/>
      <color indexed="8"/>
      <name val="Arial"/>
      <family val="2"/>
    </font>
    <font>
      <i/>
      <u val="single"/>
      <sz val="11"/>
      <color indexed="8"/>
      <name val="Calibri"/>
      <family val="2"/>
    </font>
    <font>
      <i/>
      <u val="single"/>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b/>
      <sz val="14"/>
      <color rgb="FF000000"/>
      <name val="Arial"/>
      <family val="2"/>
    </font>
    <font>
      <sz val="10"/>
      <color rgb="FF000000"/>
      <name val="Arial"/>
      <family val="2"/>
    </font>
    <font>
      <b/>
      <i/>
      <u val="single"/>
      <sz val="10"/>
      <color rgb="FF000000"/>
      <name val="Arial"/>
      <family val="2"/>
    </font>
    <font>
      <i/>
      <sz val="10"/>
      <color rgb="FF000000"/>
      <name val="Arial"/>
      <family val="2"/>
    </font>
    <font>
      <b/>
      <i/>
      <sz val="10"/>
      <color rgb="FF000000"/>
      <name val="Arial"/>
      <family val="2"/>
    </font>
    <font>
      <i/>
      <u val="single"/>
      <sz val="11"/>
      <color rgb="FF000000"/>
      <name val="Calibri"/>
      <family val="2"/>
    </font>
    <font>
      <i/>
      <u val="single"/>
      <sz val="10"/>
      <color rgb="FF000000"/>
      <name val="Arial"/>
      <family val="2"/>
    </font>
    <font>
      <b/>
      <sz val="10"/>
      <color rgb="FF000000"/>
      <name val="Arial"/>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style="thin"/>
      <right/>
      <top/>
      <bottom/>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bottom/>
    </border>
    <border>
      <left/>
      <right style="thin"/>
      <top/>
      <bottom style="thin"/>
    </border>
    <border>
      <left style="thin"/>
      <right/>
      <top/>
      <bottom style="thin"/>
    </border>
    <border>
      <left/>
      <right style="thin"/>
      <top style="thin"/>
      <bottom/>
    </border>
    <border>
      <left style="thin"/>
      <right style="thin"/>
      <top style="thin"/>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5"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3" fontId="3" fillId="0" borderId="0" applyFont="0" applyFill="0" applyBorder="0" applyAlignment="0" applyProtection="0"/>
    <xf numFmtId="4" fontId="5" fillId="0" borderId="0" applyFont="0" applyFill="0" applyBorder="0" applyAlignment="0" applyProtection="0"/>
    <xf numFmtId="0" fontId="41" fillId="0" borderId="3" applyNumberFormat="0" applyFill="0" applyAlignment="0" applyProtection="0"/>
    <xf numFmtId="0" fontId="42" fillId="28" borderId="0" applyNumberFormat="0" applyBorder="0" applyAlignment="0" applyProtection="0"/>
    <xf numFmtId="0" fontId="7" fillId="0" borderId="0" applyNumberFormat="0" applyFill="0" applyBorder="0" applyAlignment="0" applyProtection="0"/>
    <xf numFmtId="0" fontId="4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3" fillId="0" borderId="0" applyFont="0" applyFill="0" applyBorder="0" applyAlignment="0" applyProtection="0"/>
    <xf numFmtId="2" fontId="3"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4" fontId="5" fillId="0" borderId="0" applyFont="0" applyFill="0" applyBorder="0" applyAlignment="0" applyProtection="0"/>
    <xf numFmtId="0" fontId="0" fillId="31" borderId="7" applyNumberFormat="0" applyFont="0" applyAlignment="0" applyProtection="0"/>
    <xf numFmtId="0" fontId="48" fillId="32" borderId="0" applyNumberFormat="0" applyBorder="0" applyAlignment="0" applyProtection="0"/>
    <xf numFmtId="169" fontId="3" fillId="0" borderId="0" applyFont="0" applyFill="0" applyBorder="0" applyAlignment="0" applyProtection="0"/>
    <xf numFmtId="10" fontId="3" fillId="0" borderId="0">
      <alignment/>
      <protection/>
    </xf>
    <xf numFmtId="168" fontId="3" fillId="0" borderId="0" applyFont="0" applyFill="0" applyBorder="0" applyAlignment="0" applyProtection="0"/>
    <xf numFmtId="170" fontId="6" fillId="0" borderId="0" applyFon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262">
    <xf numFmtId="0" fontId="0" fillId="0" borderId="0" xfId="0" applyAlignment="1">
      <alignment/>
    </xf>
    <xf numFmtId="3" fontId="2" fillId="0" borderId="0" xfId="0" applyNumberFormat="1" applyFont="1" applyAlignment="1">
      <alignment/>
    </xf>
    <xf numFmtId="3" fontId="0" fillId="0" borderId="0" xfId="0" applyNumberFormat="1" applyFont="1" applyAlignment="1">
      <alignment/>
    </xf>
    <xf numFmtId="3" fontId="0" fillId="0" borderId="0" xfId="0" applyNumberFormat="1" applyFont="1" applyBorder="1" applyAlignment="1">
      <alignment/>
    </xf>
    <xf numFmtId="0" fontId="0" fillId="0" borderId="0" xfId="0" applyFont="1" applyAlignment="1">
      <alignment/>
    </xf>
    <xf numFmtId="3" fontId="2" fillId="0" borderId="0" xfId="0" applyNumberFormat="1" applyFont="1" applyAlignment="1">
      <alignment horizontal="centerContinuous"/>
    </xf>
    <xf numFmtId="3" fontId="0" fillId="0" borderId="0" xfId="0" applyNumberFormat="1" applyFont="1" applyAlignment="1">
      <alignment horizontal="centerContinuous"/>
    </xf>
    <xf numFmtId="0" fontId="0" fillId="0" borderId="0" xfId="0" applyFont="1" applyAlignment="1">
      <alignment horizontal="centerContinuous"/>
    </xf>
    <xf numFmtId="3" fontId="0" fillId="0" borderId="10" xfId="0" applyNumberFormat="1" applyFont="1" applyBorder="1" applyAlignment="1">
      <alignment/>
    </xf>
    <xf numFmtId="3" fontId="0" fillId="0" borderId="11" xfId="0" applyNumberFormat="1" applyFont="1" applyBorder="1" applyAlignment="1">
      <alignment horizontal="centerContinuous"/>
    </xf>
    <xf numFmtId="3" fontId="0" fillId="0" borderId="10" xfId="0" applyNumberFormat="1" applyFont="1" applyBorder="1" applyAlignment="1">
      <alignment horizontal="centerContinuous"/>
    </xf>
    <xf numFmtId="164" fontId="0" fillId="0" borderId="12" xfId="0" applyNumberFormat="1" applyFont="1" applyBorder="1" applyAlignment="1">
      <alignment/>
    </xf>
    <xf numFmtId="164" fontId="0" fillId="0" borderId="0" xfId="0" applyNumberFormat="1" applyFont="1" applyAlignment="1">
      <alignment/>
    </xf>
    <xf numFmtId="164" fontId="0" fillId="0" borderId="12" xfId="0" applyNumberFormat="1" applyFont="1" applyBorder="1" applyAlignment="1">
      <alignment horizontal="right"/>
    </xf>
    <xf numFmtId="3"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14" xfId="0" applyNumberFormat="1" applyFont="1" applyBorder="1" applyAlignment="1">
      <alignment horizontal="right"/>
    </xf>
    <xf numFmtId="0" fontId="2" fillId="0" borderId="0" xfId="0" applyFont="1" applyAlignment="1">
      <alignment horizontal="right"/>
    </xf>
    <xf numFmtId="164" fontId="0" fillId="0" borderId="0" xfId="0" applyNumberFormat="1" applyFont="1" applyAlignment="1">
      <alignment horizontal="right"/>
    </xf>
    <xf numFmtId="3" fontId="2" fillId="0" borderId="0" xfId="0" applyNumberFormat="1" applyFont="1" applyAlignment="1">
      <alignment horizontal="right"/>
    </xf>
    <xf numFmtId="164" fontId="2" fillId="0" borderId="12" xfId="0" applyNumberFormat="1" applyFont="1" applyBorder="1" applyAlignment="1">
      <alignment horizontal="right"/>
    </xf>
    <xf numFmtId="164" fontId="2" fillId="0" borderId="0" xfId="0" applyNumberFormat="1" applyFont="1" applyBorder="1" applyAlignment="1">
      <alignment horizontal="right"/>
    </xf>
    <xf numFmtId="3" fontId="0" fillId="0" borderId="0" xfId="0" applyNumberFormat="1" applyFont="1" applyAlignment="1">
      <alignment horizontal="left"/>
    </xf>
    <xf numFmtId="164" fontId="2" fillId="0" borderId="12" xfId="0" applyNumberFormat="1" applyFont="1" applyBorder="1" applyAlignment="1">
      <alignment/>
    </xf>
    <xf numFmtId="164" fontId="2" fillId="0" borderId="0" xfId="0" applyNumberFormat="1" applyFont="1" applyBorder="1" applyAlignment="1">
      <alignment/>
    </xf>
    <xf numFmtId="164" fontId="0" fillId="0" borderId="0" xfId="0" applyNumberFormat="1" applyFont="1" applyBorder="1" applyAlignment="1">
      <alignment/>
    </xf>
    <xf numFmtId="3" fontId="2" fillId="0" borderId="0" xfId="67" applyNumberFormat="1" applyFont="1">
      <alignment/>
      <protection/>
    </xf>
    <xf numFmtId="0" fontId="0" fillId="0" borderId="0" xfId="67" applyFont="1">
      <alignment/>
      <protection/>
    </xf>
    <xf numFmtId="3" fontId="0" fillId="0" borderId="0" xfId="67" applyNumberFormat="1" applyFont="1">
      <alignment/>
      <protection/>
    </xf>
    <xf numFmtId="3" fontId="2" fillId="0" borderId="0" xfId="67" applyNumberFormat="1" applyFont="1" applyAlignment="1">
      <alignment/>
      <protection/>
    </xf>
    <xf numFmtId="0" fontId="0" fillId="0" borderId="0" xfId="67" applyFont="1" applyAlignment="1">
      <alignment/>
      <protection/>
    </xf>
    <xf numFmtId="3" fontId="0" fillId="0" borderId="10" xfId="67" applyNumberFormat="1" applyFont="1" applyBorder="1">
      <alignment/>
      <protection/>
    </xf>
    <xf numFmtId="0" fontId="0" fillId="0" borderId="11" xfId="67" applyFont="1" applyBorder="1">
      <alignment/>
      <protection/>
    </xf>
    <xf numFmtId="3" fontId="0" fillId="0" borderId="15" xfId="67" applyNumberFormat="1" applyFont="1" applyBorder="1">
      <alignment/>
      <protection/>
    </xf>
    <xf numFmtId="0" fontId="0" fillId="0" borderId="12" xfId="67" applyFont="1" applyBorder="1">
      <alignment/>
      <protection/>
    </xf>
    <xf numFmtId="0" fontId="0" fillId="0" borderId="13" xfId="67" applyFont="1" applyBorder="1">
      <alignment/>
      <protection/>
    </xf>
    <xf numFmtId="164" fontId="0" fillId="0" borderId="12" xfId="67" applyNumberFormat="1" applyFont="1" applyBorder="1">
      <alignment/>
      <protection/>
    </xf>
    <xf numFmtId="3" fontId="2" fillId="0" borderId="0" xfId="67" applyNumberFormat="1" applyFont="1" applyAlignment="1">
      <alignment horizontal="right"/>
      <protection/>
    </xf>
    <xf numFmtId="164" fontId="2" fillId="0" borderId="13" xfId="67" applyNumberFormat="1" applyFont="1" applyBorder="1">
      <alignment/>
      <protection/>
    </xf>
    <xf numFmtId="0" fontId="2" fillId="0" borderId="0" xfId="67" applyFont="1">
      <alignment/>
      <protection/>
    </xf>
    <xf numFmtId="3" fontId="0" fillId="0" borderId="0" xfId="67" applyNumberFormat="1" applyFont="1" applyBorder="1">
      <alignment/>
      <protection/>
    </xf>
    <xf numFmtId="164" fontId="2" fillId="0" borderId="12" xfId="67" applyNumberFormat="1" applyFont="1" applyBorder="1">
      <alignment/>
      <protection/>
    </xf>
    <xf numFmtId="3" fontId="2" fillId="0" borderId="0" xfId="67" applyNumberFormat="1" applyFont="1" applyBorder="1">
      <alignment/>
      <protection/>
    </xf>
    <xf numFmtId="3" fontId="2" fillId="0" borderId="0" xfId="68" applyNumberFormat="1" applyFont="1">
      <alignment/>
      <protection/>
    </xf>
    <xf numFmtId="0" fontId="0" fillId="0" borderId="0" xfId="68" applyFont="1">
      <alignment/>
      <protection/>
    </xf>
    <xf numFmtId="3" fontId="0" fillId="0" borderId="0" xfId="68" applyNumberFormat="1" applyFont="1">
      <alignment/>
      <protection/>
    </xf>
    <xf numFmtId="3" fontId="2" fillId="0" borderId="0" xfId="68" applyNumberFormat="1" applyFont="1" applyAlignment="1">
      <alignment/>
      <protection/>
    </xf>
    <xf numFmtId="0" fontId="0" fillId="0" borderId="0" xfId="68" applyFont="1" applyAlignment="1">
      <alignment/>
      <protection/>
    </xf>
    <xf numFmtId="3" fontId="0" fillId="0" borderId="10" xfId="68" applyNumberFormat="1" applyFont="1" applyBorder="1">
      <alignment/>
      <protection/>
    </xf>
    <xf numFmtId="0" fontId="0" fillId="0" borderId="11" xfId="68" applyFont="1" applyBorder="1">
      <alignment/>
      <protection/>
    </xf>
    <xf numFmtId="3" fontId="0" fillId="0" borderId="15" xfId="68" applyNumberFormat="1" applyFont="1" applyBorder="1">
      <alignment/>
      <protection/>
    </xf>
    <xf numFmtId="0" fontId="0" fillId="0" borderId="12" xfId="68" applyFont="1" applyBorder="1">
      <alignment/>
      <protection/>
    </xf>
    <xf numFmtId="0" fontId="0" fillId="0" borderId="13" xfId="68" applyFont="1" applyBorder="1">
      <alignment/>
      <protection/>
    </xf>
    <xf numFmtId="164" fontId="0" fillId="0" borderId="12" xfId="68" applyNumberFormat="1" applyFont="1" applyBorder="1">
      <alignment/>
      <protection/>
    </xf>
    <xf numFmtId="3" fontId="2" fillId="0" borderId="0" xfId="68" applyNumberFormat="1" applyFont="1" applyAlignment="1">
      <alignment horizontal="right"/>
      <protection/>
    </xf>
    <xf numFmtId="164" fontId="2" fillId="0" borderId="13" xfId="68" applyNumberFormat="1" applyFont="1" applyBorder="1">
      <alignment/>
      <protection/>
    </xf>
    <xf numFmtId="0" fontId="2" fillId="0" borderId="0" xfId="68" applyFont="1">
      <alignment/>
      <protection/>
    </xf>
    <xf numFmtId="3" fontId="0" fillId="0" borderId="0" xfId="68" applyNumberFormat="1" applyFont="1" applyBorder="1">
      <alignment/>
      <protection/>
    </xf>
    <xf numFmtId="0" fontId="4" fillId="0" borderId="0" xfId="68" applyFont="1">
      <alignment/>
      <protection/>
    </xf>
    <xf numFmtId="164" fontId="0" fillId="0" borderId="0" xfId="0" applyNumberFormat="1" applyFont="1" applyAlignment="1">
      <alignment horizontal="centerContinuous"/>
    </xf>
    <xf numFmtId="164" fontId="2" fillId="0" borderId="0" xfId="0" applyNumberFormat="1" applyFont="1" applyAlignment="1">
      <alignment horizontal="centerContinuous"/>
    </xf>
    <xf numFmtId="3" fontId="0" fillId="0" borderId="10" xfId="0" applyNumberFormat="1" applyFont="1" applyBorder="1" applyAlignment="1">
      <alignment horizontal="center"/>
    </xf>
    <xf numFmtId="164" fontId="0" fillId="0" borderId="11" xfId="0" applyNumberFormat="1" applyFont="1" applyBorder="1" applyAlignment="1">
      <alignment horizontal="centerContinuous"/>
    </xf>
    <xf numFmtId="164" fontId="0" fillId="0" borderId="10" xfId="0" applyNumberFormat="1" applyFont="1" applyBorder="1" applyAlignment="1">
      <alignment horizontal="centerContinuous"/>
    </xf>
    <xf numFmtId="3" fontId="0" fillId="0" borderId="15" xfId="0" applyNumberFormat="1" applyFont="1" applyBorder="1" applyAlignment="1">
      <alignment horizontal="center"/>
    </xf>
    <xf numFmtId="164" fontId="0" fillId="0" borderId="16" xfId="0" applyNumberFormat="1" applyFont="1" applyBorder="1" applyAlignment="1">
      <alignment horizontal="centerContinuous"/>
    </xf>
    <xf numFmtId="164" fontId="0" fillId="0" borderId="17" xfId="0" applyNumberFormat="1" applyFont="1" applyBorder="1" applyAlignment="1">
      <alignment horizontal="centerContinuous"/>
    </xf>
    <xf numFmtId="3" fontId="0" fillId="0" borderId="0" xfId="0" applyNumberFormat="1" applyFont="1" applyBorder="1" applyAlignment="1">
      <alignment horizontal="right"/>
    </xf>
    <xf numFmtId="164" fontId="0" fillId="0" borderId="0" xfId="0" applyNumberFormat="1" applyFont="1" applyBorder="1" applyAlignment="1">
      <alignment horizontal="right"/>
    </xf>
    <xf numFmtId="164" fontId="0" fillId="0" borderId="15" xfId="0" applyNumberFormat="1" applyFont="1" applyBorder="1" applyAlignment="1">
      <alignment/>
    </xf>
    <xf numFmtId="164" fontId="2" fillId="0" borderId="13" xfId="0" applyNumberFormat="1" applyFont="1" applyBorder="1" applyAlignment="1">
      <alignment/>
    </xf>
    <xf numFmtId="164" fontId="2" fillId="0" borderId="14" xfId="0" applyNumberFormat="1" applyFont="1" applyBorder="1" applyAlignment="1">
      <alignment/>
    </xf>
    <xf numFmtId="3" fontId="2" fillId="0" borderId="0" xfId="70" applyNumberFormat="1" applyFont="1">
      <alignment/>
      <protection/>
    </xf>
    <xf numFmtId="3" fontId="0" fillId="0" borderId="0" xfId="70" applyNumberFormat="1" applyFont="1">
      <alignment/>
      <protection/>
    </xf>
    <xf numFmtId="3" fontId="0" fillId="0" borderId="0" xfId="70" applyNumberFormat="1" applyFont="1" applyBorder="1">
      <alignment/>
      <protection/>
    </xf>
    <xf numFmtId="0" fontId="0" fillId="0" borderId="0" xfId="70" applyFont="1">
      <alignment/>
      <protection/>
    </xf>
    <xf numFmtId="3" fontId="2" fillId="0" borderId="0" xfId="70" applyNumberFormat="1" applyFont="1" applyAlignment="1">
      <alignment horizontal="centerContinuous"/>
      <protection/>
    </xf>
    <xf numFmtId="3" fontId="0" fillId="0" borderId="0" xfId="70" applyNumberFormat="1" applyFont="1" applyAlignment="1">
      <alignment horizontal="centerContinuous"/>
      <protection/>
    </xf>
    <xf numFmtId="3" fontId="0" fillId="0" borderId="0" xfId="70" applyNumberFormat="1" applyFont="1" applyBorder="1" applyAlignment="1">
      <alignment horizontal="centerContinuous"/>
      <protection/>
    </xf>
    <xf numFmtId="0" fontId="0" fillId="0" borderId="0" xfId="70" applyFont="1" applyAlignment="1">
      <alignment horizontal="centerContinuous"/>
      <protection/>
    </xf>
    <xf numFmtId="3" fontId="0" fillId="0" borderId="10" xfId="70" applyNumberFormat="1" applyFont="1" applyBorder="1">
      <alignment/>
      <protection/>
    </xf>
    <xf numFmtId="3" fontId="0" fillId="0" borderId="15" xfId="70" applyNumberFormat="1" applyFont="1" applyBorder="1">
      <alignment/>
      <protection/>
    </xf>
    <xf numFmtId="3" fontId="2" fillId="0" borderId="12" xfId="70" applyNumberFormat="1" applyFont="1" applyBorder="1">
      <alignment/>
      <protection/>
    </xf>
    <xf numFmtId="3" fontId="0" fillId="0" borderId="12" xfId="70" applyNumberFormat="1" applyFont="1" applyBorder="1">
      <alignment/>
      <protection/>
    </xf>
    <xf numFmtId="164" fontId="0" fillId="0" borderId="12" xfId="70" applyNumberFormat="1" applyFont="1" applyBorder="1">
      <alignment/>
      <protection/>
    </xf>
    <xf numFmtId="164" fontId="0" fillId="0" borderId="0" xfId="70" applyNumberFormat="1" applyFont="1">
      <alignment/>
      <protection/>
    </xf>
    <xf numFmtId="164" fontId="0" fillId="0" borderId="12" xfId="70" applyNumberFormat="1" applyFont="1" applyBorder="1" applyAlignment="1">
      <alignment horizontal="right"/>
      <protection/>
    </xf>
    <xf numFmtId="3" fontId="2" fillId="0" borderId="0" xfId="70" applyNumberFormat="1" applyFont="1" applyAlignment="1">
      <alignment horizontal="right"/>
      <protection/>
    </xf>
    <xf numFmtId="164" fontId="2" fillId="0" borderId="13" xfId="70" applyNumberFormat="1" applyFont="1" applyBorder="1">
      <alignment/>
      <protection/>
    </xf>
    <xf numFmtId="164" fontId="2" fillId="0" borderId="14" xfId="70" applyNumberFormat="1" applyFont="1" applyBorder="1">
      <alignment/>
      <protection/>
    </xf>
    <xf numFmtId="164" fontId="0" fillId="0" borderId="0" xfId="70" applyNumberFormat="1" applyFont="1" applyAlignment="1">
      <alignment horizontal="right"/>
      <protection/>
    </xf>
    <xf numFmtId="164" fontId="2" fillId="0" borderId="12" xfId="70" applyNumberFormat="1" applyFont="1" applyBorder="1">
      <alignment/>
      <protection/>
    </xf>
    <xf numFmtId="164" fontId="2" fillId="0" borderId="0" xfId="70" applyNumberFormat="1" applyFont="1" applyBorder="1">
      <alignment/>
      <protection/>
    </xf>
    <xf numFmtId="0" fontId="0" fillId="0" borderId="0" xfId="70" applyFont="1" applyBorder="1">
      <alignment/>
      <protection/>
    </xf>
    <xf numFmtId="3" fontId="2" fillId="0" borderId="0" xfId="71" applyNumberFormat="1" applyFont="1">
      <alignment/>
      <protection/>
    </xf>
    <xf numFmtId="3" fontId="0" fillId="0" borderId="0" xfId="71" applyNumberFormat="1" applyFont="1">
      <alignment/>
      <protection/>
    </xf>
    <xf numFmtId="3" fontId="0" fillId="0" borderId="0" xfId="71" applyNumberFormat="1" applyFont="1" applyBorder="1">
      <alignment/>
      <protection/>
    </xf>
    <xf numFmtId="0" fontId="0" fillId="0" borderId="0" xfId="71" applyFont="1">
      <alignment/>
      <protection/>
    </xf>
    <xf numFmtId="3" fontId="2" fillId="0" borderId="0" xfId="71" applyNumberFormat="1" applyFont="1" applyAlignment="1">
      <alignment horizontal="centerContinuous"/>
      <protection/>
    </xf>
    <xf numFmtId="3" fontId="0" fillId="0" borderId="0" xfId="71" applyNumberFormat="1" applyFont="1" applyAlignment="1">
      <alignment horizontal="centerContinuous"/>
      <protection/>
    </xf>
    <xf numFmtId="3" fontId="0" fillId="0" borderId="0" xfId="71" applyNumberFormat="1" applyFont="1" applyBorder="1" applyAlignment="1">
      <alignment horizontal="centerContinuous"/>
      <protection/>
    </xf>
    <xf numFmtId="0" fontId="0" fillId="0" borderId="0" xfId="71" applyFont="1" applyAlignment="1">
      <alignment horizontal="centerContinuous"/>
      <protection/>
    </xf>
    <xf numFmtId="3" fontId="0" fillId="0" borderId="10" xfId="71" applyNumberFormat="1" applyFont="1" applyBorder="1">
      <alignment/>
      <protection/>
    </xf>
    <xf numFmtId="3" fontId="0" fillId="0" borderId="11" xfId="71" applyNumberFormat="1" applyFont="1" applyBorder="1" applyAlignment="1">
      <alignment horizontal="centerContinuous"/>
      <protection/>
    </xf>
    <xf numFmtId="3" fontId="0" fillId="0" borderId="10" xfId="71" applyNumberFormat="1" applyFont="1" applyBorder="1" applyAlignment="1">
      <alignment horizontal="centerContinuous"/>
      <protection/>
    </xf>
    <xf numFmtId="3" fontId="0" fillId="0" borderId="13" xfId="71" applyNumberFormat="1" applyFont="1" applyBorder="1" applyAlignment="1">
      <alignment horizontal="centerContinuous"/>
      <protection/>
    </xf>
    <xf numFmtId="3" fontId="0" fillId="0" borderId="14" xfId="71" applyNumberFormat="1" applyFont="1" applyBorder="1" applyAlignment="1">
      <alignment horizontal="centerContinuous"/>
      <protection/>
    </xf>
    <xf numFmtId="3" fontId="2" fillId="0" borderId="12" xfId="71" applyNumberFormat="1" applyFont="1" applyBorder="1">
      <alignment/>
      <protection/>
    </xf>
    <xf numFmtId="3" fontId="0" fillId="0" borderId="12" xfId="71" applyNumberFormat="1" applyFont="1" applyBorder="1">
      <alignment/>
      <protection/>
    </xf>
    <xf numFmtId="164" fontId="0" fillId="0" borderId="12" xfId="71" applyNumberFormat="1" applyFont="1" applyBorder="1">
      <alignment/>
      <protection/>
    </xf>
    <xf numFmtId="164" fontId="0" fillId="0" borderId="0" xfId="71" applyNumberFormat="1" applyFont="1">
      <alignment/>
      <protection/>
    </xf>
    <xf numFmtId="164" fontId="0" fillId="0" borderId="12" xfId="71" applyNumberFormat="1" applyFont="1" applyBorder="1" applyAlignment="1">
      <alignment horizontal="right"/>
      <protection/>
    </xf>
    <xf numFmtId="3" fontId="2" fillId="0" borderId="0" xfId="69" applyNumberFormat="1" applyFont="1">
      <alignment/>
      <protection/>
    </xf>
    <xf numFmtId="0" fontId="0" fillId="0" borderId="0" xfId="69" applyFont="1">
      <alignment/>
      <protection/>
    </xf>
    <xf numFmtId="3" fontId="0" fillId="0" borderId="0" xfId="69" applyNumberFormat="1" applyFont="1">
      <alignment/>
      <protection/>
    </xf>
    <xf numFmtId="3" fontId="2" fillId="0" borderId="0" xfId="69" applyNumberFormat="1" applyFont="1" applyAlignment="1">
      <alignment/>
      <protection/>
    </xf>
    <xf numFmtId="0" fontId="0" fillId="0" borderId="0" xfId="69" applyFont="1" applyAlignment="1">
      <alignment/>
      <protection/>
    </xf>
    <xf numFmtId="3" fontId="0" fillId="0" borderId="10" xfId="69" applyNumberFormat="1" applyFont="1" applyBorder="1">
      <alignment/>
      <protection/>
    </xf>
    <xf numFmtId="0" fontId="0" fillId="0" borderId="11" xfId="69" applyFont="1" applyBorder="1">
      <alignment/>
      <protection/>
    </xf>
    <xf numFmtId="3" fontId="0" fillId="0" borderId="15" xfId="69" applyNumberFormat="1" applyFont="1" applyBorder="1">
      <alignment/>
      <protection/>
    </xf>
    <xf numFmtId="0" fontId="0" fillId="0" borderId="12" xfId="69" applyFont="1" applyBorder="1">
      <alignment/>
      <protection/>
    </xf>
    <xf numFmtId="0" fontId="0" fillId="0" borderId="13" xfId="69" applyFont="1" applyBorder="1">
      <alignment/>
      <protection/>
    </xf>
    <xf numFmtId="164" fontId="0" fillId="0" borderId="12" xfId="69" applyNumberFormat="1" applyFont="1" applyBorder="1">
      <alignment/>
      <protection/>
    </xf>
    <xf numFmtId="3" fontId="2" fillId="0" borderId="0" xfId="69" applyNumberFormat="1" applyFont="1" applyAlignment="1">
      <alignment horizontal="right"/>
      <protection/>
    </xf>
    <xf numFmtId="164" fontId="2" fillId="0" borderId="13" xfId="69" applyNumberFormat="1" applyFont="1" applyBorder="1">
      <alignment/>
      <protection/>
    </xf>
    <xf numFmtId="0" fontId="2" fillId="0" borderId="0" xfId="69" applyFont="1">
      <alignment/>
      <protection/>
    </xf>
    <xf numFmtId="3" fontId="0" fillId="0" borderId="0" xfId="69" applyNumberFormat="1" applyFont="1" applyBorder="1">
      <alignment/>
      <protection/>
    </xf>
    <xf numFmtId="164" fontId="2" fillId="0" borderId="12" xfId="69" applyNumberFormat="1" applyFont="1" applyBorder="1">
      <alignment/>
      <protection/>
    </xf>
    <xf numFmtId="3" fontId="0" fillId="0" borderId="0" xfId="0" applyNumberFormat="1" applyFont="1" applyBorder="1" applyAlignment="1">
      <alignment horizontal="centerContinuous"/>
    </xf>
    <xf numFmtId="3" fontId="2" fillId="0" borderId="0" xfId="72" applyNumberFormat="1" applyFont="1">
      <alignment/>
      <protection/>
    </xf>
    <xf numFmtId="0" fontId="0" fillId="0" borderId="0" xfId="72" applyFont="1">
      <alignment/>
      <protection/>
    </xf>
    <xf numFmtId="3" fontId="0" fillId="0" borderId="0" xfId="72" applyNumberFormat="1" applyFont="1">
      <alignment/>
      <protection/>
    </xf>
    <xf numFmtId="3" fontId="2" fillId="0" borderId="0" xfId="72" applyNumberFormat="1" applyFont="1" applyAlignment="1">
      <alignment/>
      <protection/>
    </xf>
    <xf numFmtId="0" fontId="0" fillId="0" borderId="0" xfId="72" applyFont="1" applyAlignment="1">
      <alignment/>
      <protection/>
    </xf>
    <xf numFmtId="3" fontId="0" fillId="0" borderId="10" xfId="72" applyNumberFormat="1" applyFont="1" applyBorder="1">
      <alignment/>
      <protection/>
    </xf>
    <xf numFmtId="0" fontId="0" fillId="0" borderId="11" xfId="72" applyFont="1" applyBorder="1">
      <alignment/>
      <protection/>
    </xf>
    <xf numFmtId="3" fontId="0" fillId="0" borderId="0" xfId="72" applyNumberFormat="1" applyFont="1" applyBorder="1" applyAlignment="1">
      <alignment horizontal="center"/>
      <protection/>
    </xf>
    <xf numFmtId="0" fontId="0" fillId="0" borderId="12" xfId="72" applyFont="1" applyBorder="1" applyAlignment="1">
      <alignment horizontal="center"/>
      <protection/>
    </xf>
    <xf numFmtId="0" fontId="0" fillId="0" borderId="0" xfId="72" applyFont="1" applyAlignment="1">
      <alignment horizontal="center"/>
      <protection/>
    </xf>
    <xf numFmtId="3" fontId="0" fillId="0" borderId="15" xfId="72" applyNumberFormat="1" applyFont="1" applyBorder="1">
      <alignment/>
      <protection/>
    </xf>
    <xf numFmtId="0" fontId="0" fillId="0" borderId="12" xfId="72" applyFont="1" applyBorder="1">
      <alignment/>
      <protection/>
    </xf>
    <xf numFmtId="0" fontId="0" fillId="0" borderId="13" xfId="72" applyFont="1" applyBorder="1">
      <alignment/>
      <protection/>
    </xf>
    <xf numFmtId="164" fontId="0" fillId="0" borderId="12" xfId="72" applyNumberFormat="1" applyFont="1" applyBorder="1">
      <alignment/>
      <protection/>
    </xf>
    <xf numFmtId="3" fontId="2" fillId="0" borderId="0" xfId="72" applyNumberFormat="1" applyFont="1" applyAlignment="1">
      <alignment horizontal="right"/>
      <protection/>
    </xf>
    <xf numFmtId="164" fontId="2" fillId="0" borderId="13" xfId="72" applyNumberFormat="1" applyFont="1" applyBorder="1">
      <alignment/>
      <protection/>
    </xf>
    <xf numFmtId="0" fontId="2" fillId="0" borderId="0" xfId="72" applyFont="1">
      <alignment/>
      <protection/>
    </xf>
    <xf numFmtId="3" fontId="0" fillId="0" borderId="0" xfId="72" applyNumberFormat="1" applyFont="1" applyBorder="1">
      <alignment/>
      <protection/>
    </xf>
    <xf numFmtId="164" fontId="2" fillId="0" borderId="12" xfId="72" applyNumberFormat="1" applyFont="1" applyBorder="1">
      <alignment/>
      <protection/>
    </xf>
    <xf numFmtId="3" fontId="0" fillId="0" borderId="11" xfId="70" applyNumberFormat="1" applyFont="1" applyBorder="1" applyAlignment="1">
      <alignment horizontal="centerContinuous" vertical="center"/>
      <protection/>
    </xf>
    <xf numFmtId="3" fontId="0" fillId="0" borderId="10" xfId="70" applyNumberFormat="1" applyFont="1" applyBorder="1" applyAlignment="1">
      <alignment horizontal="centerContinuous" vertical="center"/>
      <protection/>
    </xf>
    <xf numFmtId="3" fontId="0" fillId="0" borderId="13" xfId="70" applyNumberFormat="1" applyFont="1" applyBorder="1" applyAlignment="1">
      <alignment horizontal="centerContinuous" vertical="center"/>
      <protection/>
    </xf>
    <xf numFmtId="3" fontId="0" fillId="0" borderId="14" xfId="70" applyNumberFormat="1" applyFont="1" applyBorder="1" applyAlignment="1">
      <alignment horizontal="centerContinuous" vertical="center"/>
      <protection/>
    </xf>
    <xf numFmtId="3" fontId="0" fillId="0" borderId="11" xfId="0" applyNumberFormat="1" applyFont="1" applyBorder="1" applyAlignment="1">
      <alignment horizontal="centerContinuous" vertical="center"/>
    </xf>
    <xf numFmtId="3" fontId="0" fillId="0" borderId="10" xfId="0" applyNumberFormat="1" applyFont="1" applyBorder="1" applyAlignment="1">
      <alignment horizontal="centerContinuous" vertical="center"/>
    </xf>
    <xf numFmtId="3" fontId="0" fillId="0" borderId="13" xfId="0" applyNumberFormat="1" applyFont="1" applyBorder="1" applyAlignment="1">
      <alignment horizontal="centerContinuous" vertical="center"/>
    </xf>
    <xf numFmtId="3" fontId="0" fillId="0" borderId="14" xfId="0" applyNumberFormat="1" applyFont="1" applyBorder="1" applyAlignment="1">
      <alignment horizontal="centerContinuous" vertical="center"/>
    </xf>
    <xf numFmtId="0" fontId="0" fillId="0" borderId="0" xfId="0" applyFont="1" applyAlignment="1">
      <alignment horizontal="center"/>
    </xf>
    <xf numFmtId="164" fontId="0" fillId="0" borderId="16" xfId="0" applyNumberFormat="1" applyFont="1" applyBorder="1" applyAlignment="1">
      <alignment horizontal="center"/>
    </xf>
    <xf numFmtId="164" fontId="0" fillId="0" borderId="17" xfId="0" applyNumberFormat="1" applyFont="1" applyBorder="1" applyAlignment="1">
      <alignment horizontal="center"/>
    </xf>
    <xf numFmtId="3" fontId="0" fillId="0" borderId="15" xfId="71" applyNumberFormat="1" applyFont="1" applyBorder="1" applyAlignment="1">
      <alignment horizontal="center"/>
      <protection/>
    </xf>
    <xf numFmtId="0" fontId="0" fillId="0" borderId="0" xfId="71" applyFont="1" applyAlignment="1">
      <alignment horizontal="center"/>
      <protection/>
    </xf>
    <xf numFmtId="164" fontId="2" fillId="0" borderId="18" xfId="70" applyNumberFormat="1" applyFont="1" applyBorder="1">
      <alignment/>
      <protection/>
    </xf>
    <xf numFmtId="164" fontId="0" fillId="0" borderId="0" xfId="71" applyNumberFormat="1" applyFont="1" applyBorder="1">
      <alignment/>
      <protection/>
    </xf>
    <xf numFmtId="164" fontId="0" fillId="0" borderId="0" xfId="71" applyNumberFormat="1" applyFont="1" applyBorder="1" applyAlignment="1">
      <alignment horizontal="right"/>
      <protection/>
    </xf>
    <xf numFmtId="164" fontId="0" fillId="0" borderId="0" xfId="70" applyNumberFormat="1" applyFont="1">
      <alignment/>
      <protection/>
    </xf>
    <xf numFmtId="164" fontId="2" fillId="0" borderId="12" xfId="0" applyNumberFormat="1" applyFont="1" applyBorder="1" applyAlignment="1">
      <alignment/>
    </xf>
    <xf numFmtId="164" fontId="2" fillId="0" borderId="0" xfId="0" applyNumberFormat="1" applyFont="1" applyAlignment="1">
      <alignment/>
    </xf>
    <xf numFmtId="164" fontId="2" fillId="0" borderId="0" xfId="0" applyNumberFormat="1" applyFont="1" applyBorder="1" applyAlignment="1">
      <alignment horizontal="right"/>
    </xf>
    <xf numFmtId="164" fontId="2" fillId="0" borderId="12" xfId="0" applyNumberFormat="1" applyFont="1" applyBorder="1" applyAlignment="1">
      <alignment horizontal="right"/>
    </xf>
    <xf numFmtId="0" fontId="3" fillId="0" borderId="14" xfId="67" applyBorder="1">
      <alignment/>
      <protection/>
    </xf>
    <xf numFmtId="164" fontId="0" fillId="0" borderId="13" xfId="67" applyNumberFormat="1" applyFont="1" applyBorder="1">
      <alignment/>
      <protection/>
    </xf>
    <xf numFmtId="0" fontId="3" fillId="0" borderId="0" xfId="68" applyBorder="1">
      <alignment/>
      <protection/>
    </xf>
    <xf numFmtId="3" fontId="2" fillId="0" borderId="15" xfId="68" applyNumberFormat="1" applyFont="1" applyBorder="1" applyAlignment="1">
      <alignment horizontal="right"/>
      <protection/>
    </xf>
    <xf numFmtId="164" fontId="2" fillId="0" borderId="16" xfId="68" applyNumberFormat="1" applyFont="1" applyBorder="1">
      <alignment/>
      <protection/>
    </xf>
    <xf numFmtId="0" fontId="4" fillId="0" borderId="0" xfId="0" applyFont="1" applyAlignment="1">
      <alignment/>
    </xf>
    <xf numFmtId="3" fontId="0" fillId="0" borderId="16" xfId="0" applyNumberFormat="1" applyFont="1" applyBorder="1" applyAlignment="1">
      <alignment horizontal="center"/>
    </xf>
    <xf numFmtId="3" fontId="0" fillId="0" borderId="17" xfId="0" applyNumberFormat="1" applyFont="1" applyBorder="1" applyAlignment="1">
      <alignment horizontal="center"/>
    </xf>
    <xf numFmtId="3" fontId="0" fillId="0" borderId="16" xfId="70" applyNumberFormat="1" applyFont="1" applyBorder="1" applyAlignment="1">
      <alignment horizontal="right" vertical="center"/>
      <protection/>
    </xf>
    <xf numFmtId="3" fontId="0" fillId="0" borderId="17" xfId="70" applyNumberFormat="1" applyFont="1" applyBorder="1" applyAlignment="1">
      <alignment horizontal="right" vertical="center"/>
      <protection/>
    </xf>
    <xf numFmtId="3" fontId="0" fillId="0" borderId="16" xfId="71" applyNumberFormat="1" applyFont="1" applyBorder="1" applyAlignment="1">
      <alignment horizontal="center"/>
      <protection/>
    </xf>
    <xf numFmtId="3" fontId="0" fillId="0" borderId="17" xfId="71" applyNumberFormat="1" applyFont="1" applyBorder="1" applyAlignment="1">
      <alignment horizontal="center"/>
      <protection/>
    </xf>
    <xf numFmtId="3" fontId="0" fillId="0" borderId="16" xfId="0" applyNumberFormat="1" applyFont="1" applyBorder="1" applyAlignment="1">
      <alignment horizontal="center" vertical="center"/>
    </xf>
    <xf numFmtId="3" fontId="0" fillId="0" borderId="17" xfId="0" applyNumberFormat="1" applyFont="1" applyBorder="1" applyAlignment="1">
      <alignment horizontal="center" vertical="center"/>
    </xf>
    <xf numFmtId="0" fontId="4" fillId="0" borderId="0" xfId="72" applyFont="1">
      <alignment/>
      <protection/>
    </xf>
    <xf numFmtId="0" fontId="4" fillId="0" borderId="0" xfId="0" applyFont="1" applyAlignment="1">
      <alignment/>
    </xf>
    <xf numFmtId="0" fontId="3" fillId="0" borderId="14" xfId="69" applyBorder="1">
      <alignment/>
      <protection/>
    </xf>
    <xf numFmtId="164" fontId="0" fillId="0" borderId="13" xfId="69" applyNumberFormat="1" applyFont="1" applyBorder="1">
      <alignment/>
      <protection/>
    </xf>
    <xf numFmtId="0" fontId="3" fillId="0" borderId="14" xfId="72" applyBorder="1">
      <alignment/>
      <protection/>
    </xf>
    <xf numFmtId="164" fontId="0" fillId="0" borderId="13" xfId="72" applyNumberFormat="1" applyFont="1" applyBorder="1">
      <alignment/>
      <protection/>
    </xf>
    <xf numFmtId="164" fontId="0" fillId="0" borderId="18" xfId="0" applyNumberFormat="1" applyFont="1" applyBorder="1" applyAlignment="1">
      <alignment/>
    </xf>
    <xf numFmtId="164" fontId="0" fillId="0" borderId="19" xfId="0" applyNumberFormat="1" applyFont="1" applyBorder="1" applyAlignment="1">
      <alignment/>
    </xf>
    <xf numFmtId="164" fontId="0" fillId="0" borderId="18" xfId="0" applyNumberFormat="1" applyFont="1" applyBorder="1" applyAlignment="1">
      <alignment horizontal="right"/>
    </xf>
    <xf numFmtId="164" fontId="0" fillId="0" borderId="12"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20" xfId="0" applyNumberFormat="1" applyBorder="1" applyAlignment="1">
      <alignment/>
    </xf>
    <xf numFmtId="164" fontId="0" fillId="0" borderId="15" xfId="0" applyNumberFormat="1" applyBorder="1" applyAlignment="1">
      <alignment/>
    </xf>
    <xf numFmtId="3" fontId="0" fillId="0" borderId="15" xfId="0" applyNumberFormat="1" applyFont="1" applyBorder="1" applyAlignment="1">
      <alignment horizontal="left"/>
    </xf>
    <xf numFmtId="3" fontId="2" fillId="0" borderId="18" xfId="70" applyNumberFormat="1" applyFont="1" applyBorder="1">
      <alignment/>
      <protection/>
    </xf>
    <xf numFmtId="164" fontId="0" fillId="0" borderId="18" xfId="70" applyNumberFormat="1" applyFont="1" applyBorder="1">
      <alignment/>
      <protection/>
    </xf>
    <xf numFmtId="0" fontId="2" fillId="0" borderId="18" xfId="70" applyFont="1" applyBorder="1" applyAlignment="1">
      <alignment horizontal="right"/>
      <protection/>
    </xf>
    <xf numFmtId="164" fontId="0" fillId="0" borderId="0" xfId="70" applyNumberFormat="1" applyFont="1" applyBorder="1">
      <alignment/>
      <protection/>
    </xf>
    <xf numFmtId="3" fontId="2" fillId="0" borderId="0" xfId="0" applyNumberFormat="1" applyFont="1" applyAlignment="1">
      <alignment horizontal="left"/>
    </xf>
    <xf numFmtId="3" fontId="2" fillId="0" borderId="0" xfId="0" applyNumberFormat="1" applyFont="1" applyAlignment="1">
      <alignment horizontal="right" wrapText="1" shrinkToFit="1"/>
    </xf>
    <xf numFmtId="164" fontId="2" fillId="0" borderId="18" xfId="0" applyNumberFormat="1" applyFont="1" applyBorder="1" applyAlignment="1">
      <alignment/>
    </xf>
    <xf numFmtId="3" fontId="2" fillId="0" borderId="0" xfId="67" applyNumberFormat="1" applyFont="1" applyAlignment="1">
      <alignment horizontal="left"/>
      <protection/>
    </xf>
    <xf numFmtId="164" fontId="2" fillId="0" borderId="12" xfId="68" applyNumberFormat="1" applyFont="1" applyBorder="1">
      <alignment/>
      <protection/>
    </xf>
    <xf numFmtId="164" fontId="0" fillId="0" borderId="18" xfId="71" applyNumberFormat="1" applyFont="1" applyBorder="1">
      <alignment/>
      <protection/>
    </xf>
    <xf numFmtId="164" fontId="2" fillId="0" borderId="21" xfId="0" applyNumberFormat="1" applyFont="1" applyBorder="1" applyAlignment="1">
      <alignment/>
    </xf>
    <xf numFmtId="164" fontId="2" fillId="0" borderId="21" xfId="0" applyNumberFormat="1" applyFont="1" applyBorder="1" applyAlignment="1">
      <alignment horizontal="right"/>
    </xf>
    <xf numFmtId="0" fontId="3" fillId="0" borderId="0" xfId="67" applyBorder="1">
      <alignment/>
      <protection/>
    </xf>
    <xf numFmtId="164" fontId="2" fillId="0" borderId="22" xfId="67" applyNumberFormat="1" applyFont="1" applyBorder="1">
      <alignment/>
      <protection/>
    </xf>
    <xf numFmtId="164" fontId="2" fillId="0" borderId="22" xfId="68" applyNumberFormat="1" applyFont="1" applyBorder="1">
      <alignment/>
      <protection/>
    </xf>
    <xf numFmtId="164" fontId="2" fillId="0" borderId="22" xfId="69" applyNumberFormat="1" applyFont="1" applyBorder="1">
      <alignment/>
      <protection/>
    </xf>
    <xf numFmtId="164" fontId="2" fillId="0" borderId="22" xfId="72" applyNumberFormat="1" applyFont="1" applyBorder="1">
      <alignment/>
      <protection/>
    </xf>
    <xf numFmtId="0" fontId="2" fillId="0" borderId="0" xfId="0" applyFont="1" applyAlignment="1">
      <alignment/>
    </xf>
    <xf numFmtId="0" fontId="0" fillId="0" borderId="0" xfId="0" applyFont="1" applyAlignment="1">
      <alignment/>
    </xf>
    <xf numFmtId="0" fontId="4" fillId="0" borderId="0" xfId="67" applyFont="1">
      <alignment/>
      <protection/>
    </xf>
    <xf numFmtId="0" fontId="4" fillId="0" borderId="0" xfId="68" applyFont="1">
      <alignment/>
      <protection/>
    </xf>
    <xf numFmtId="0" fontId="4" fillId="0" borderId="0" xfId="70" applyFont="1">
      <alignment/>
      <protection/>
    </xf>
    <xf numFmtId="0" fontId="4" fillId="0" borderId="0" xfId="71" applyFont="1">
      <alignment/>
      <protection/>
    </xf>
    <xf numFmtId="0" fontId="4" fillId="0" borderId="0" xfId="69" applyFont="1">
      <alignment/>
      <protection/>
    </xf>
    <xf numFmtId="3" fontId="4" fillId="0" borderId="0" xfId="71" applyNumberFormat="1" applyFont="1" applyFill="1" applyBorder="1">
      <alignment/>
      <protection/>
    </xf>
    <xf numFmtId="0" fontId="9" fillId="0" borderId="0" xfId="0" applyFont="1" applyAlignment="1">
      <alignment/>
    </xf>
    <xf numFmtId="0" fontId="0" fillId="0" borderId="12" xfId="72" applyFont="1" applyBorder="1" applyAlignment="1">
      <alignment horizontal="center"/>
      <protection/>
    </xf>
    <xf numFmtId="3" fontId="0" fillId="0" borderId="0" xfId="71" applyNumberFormat="1" applyFont="1">
      <alignment/>
      <protection/>
    </xf>
    <xf numFmtId="164" fontId="0" fillId="0" borderId="0" xfId="70" applyNumberFormat="1" applyFont="1">
      <alignment/>
      <protection/>
    </xf>
    <xf numFmtId="164" fontId="54" fillId="0" borderId="0" xfId="0" applyNumberFormat="1" applyFont="1" applyAlignment="1">
      <alignment/>
    </xf>
    <xf numFmtId="0" fontId="54" fillId="0" borderId="0" xfId="0" applyFont="1" applyAlignment="1">
      <alignment/>
    </xf>
    <xf numFmtId="0" fontId="54" fillId="0" borderId="0" xfId="48" applyFont="1" applyAlignment="1" applyProtection="1">
      <alignment/>
      <protection/>
    </xf>
    <xf numFmtId="0" fontId="0" fillId="0" borderId="0" xfId="67" applyFont="1">
      <alignment/>
      <protection/>
    </xf>
    <xf numFmtId="3" fontId="0" fillId="0" borderId="11" xfId="70" applyNumberFormat="1" applyFont="1" applyBorder="1" applyAlignment="1">
      <alignment horizontal="centerContinuous" vertical="center"/>
      <protection/>
    </xf>
    <xf numFmtId="0" fontId="0" fillId="0" borderId="0" xfId="70" applyFont="1">
      <alignment/>
      <protection/>
    </xf>
    <xf numFmtId="3" fontId="0" fillId="0" borderId="0" xfId="71" applyNumberFormat="1" applyFont="1">
      <alignment/>
      <protection/>
    </xf>
    <xf numFmtId="3" fontId="0" fillId="0" borderId="11" xfId="0" applyNumberFormat="1" applyFont="1" applyBorder="1" applyAlignment="1">
      <alignment horizontal="centerContinuous" vertical="center"/>
    </xf>
    <xf numFmtId="3" fontId="2" fillId="0" borderId="0" xfId="72" applyNumberFormat="1" applyFont="1">
      <alignment/>
      <protection/>
    </xf>
    <xf numFmtId="0" fontId="55" fillId="0" borderId="0" xfId="0" applyFont="1" applyAlignment="1">
      <alignment vertical="center"/>
    </xf>
    <xf numFmtId="0" fontId="10" fillId="0" borderId="0" xfId="0" applyFont="1" applyAlignment="1">
      <alignment vertical="center"/>
    </xf>
    <xf numFmtId="0" fontId="56" fillId="0" borderId="0" xfId="0" applyFont="1" applyAlignment="1">
      <alignment vertical="center"/>
    </xf>
    <xf numFmtId="0" fontId="56" fillId="0" borderId="0" xfId="0" applyFont="1" applyAlignment="1">
      <alignment horizontal="justify" vertical="center"/>
    </xf>
    <xf numFmtId="0" fontId="10" fillId="0" borderId="0" xfId="0" applyFont="1" applyAlignment="1">
      <alignment horizontal="justify" vertical="center"/>
    </xf>
    <xf numFmtId="0" fontId="57" fillId="0" borderId="0" xfId="0" applyFont="1" applyAlignment="1">
      <alignment vertical="center"/>
    </xf>
    <xf numFmtId="0" fontId="58" fillId="0" borderId="0" xfId="0" applyFont="1" applyAlignment="1">
      <alignment vertical="center"/>
    </xf>
    <xf numFmtId="0" fontId="0" fillId="0" borderId="0" xfId="0" applyFont="1" applyAlignment="1">
      <alignment horizontal="justify"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56" fillId="0" borderId="0" xfId="0" applyFont="1" applyAlignment="1">
      <alignment vertical="center" wrapText="1"/>
    </xf>
    <xf numFmtId="0" fontId="0" fillId="0" borderId="0" xfId="0" applyFont="1" applyFill="1" applyAlignment="1">
      <alignment wrapText="1"/>
    </xf>
    <xf numFmtId="0" fontId="0" fillId="0" borderId="0" xfId="0" applyFont="1" applyFill="1" applyAlignment="1">
      <alignment/>
    </xf>
    <xf numFmtId="0" fontId="0" fillId="0" borderId="0" xfId="0" applyFill="1" applyAlignment="1">
      <alignment/>
    </xf>
    <xf numFmtId="3" fontId="2" fillId="0" borderId="18" xfId="70" applyNumberFormat="1" applyFont="1" applyBorder="1" applyAlignment="1">
      <alignment horizontal="right" wrapText="1" shrinkToFit="1"/>
      <protection/>
    </xf>
    <xf numFmtId="0" fontId="0" fillId="0" borderId="0" xfId="0" applyNumberFormat="1" applyFont="1" applyAlignment="1">
      <alignment/>
    </xf>
    <xf numFmtId="3" fontId="2" fillId="0" borderId="0" xfId="0" applyNumberFormat="1" applyFont="1" applyAlignment="1">
      <alignment horizontal="center"/>
    </xf>
    <xf numFmtId="3" fontId="2" fillId="0" borderId="0" xfId="67" applyNumberFormat="1" applyFont="1" applyAlignment="1">
      <alignment horizontal="center"/>
      <protection/>
    </xf>
    <xf numFmtId="3" fontId="2" fillId="0" borderId="0" xfId="67" applyNumberFormat="1" applyFont="1" applyAlignment="1">
      <alignment horizontal="center"/>
      <protection/>
    </xf>
    <xf numFmtId="3" fontId="2" fillId="0" borderId="0" xfId="68" applyNumberFormat="1" applyFont="1" applyAlignment="1">
      <alignment horizontal="center"/>
      <protection/>
    </xf>
    <xf numFmtId="3" fontId="2" fillId="0" borderId="0" xfId="68" applyNumberFormat="1" applyFont="1" applyAlignment="1">
      <alignment horizontal="center"/>
      <protection/>
    </xf>
    <xf numFmtId="3" fontId="2" fillId="0" borderId="0" xfId="69" applyNumberFormat="1" applyFont="1" applyAlignment="1">
      <alignment horizontal="center"/>
      <protection/>
    </xf>
    <xf numFmtId="3" fontId="2" fillId="0" borderId="0" xfId="72" applyNumberFormat="1" applyFont="1" applyAlignment="1">
      <alignment horizontal="center"/>
      <protection/>
    </xf>
  </cellXfs>
  <cellStyles count="66">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yperlink" xfId="48"/>
    <cellStyle name="Invoer" xfId="49"/>
    <cellStyle name="Comma" xfId="50"/>
    <cellStyle name="Comma [0]" xfId="51"/>
    <cellStyle name="komma1nul" xfId="52"/>
    <cellStyle name="komma2nul" xfId="53"/>
    <cellStyle name="Kop 1" xfId="54"/>
    <cellStyle name="Kop 2" xfId="55"/>
    <cellStyle name="Kop 3" xfId="56"/>
    <cellStyle name="Kop 4" xfId="57"/>
    <cellStyle name="Neutraal" xfId="58"/>
    <cellStyle name="nieuw" xfId="59"/>
    <cellStyle name="Notitie" xfId="60"/>
    <cellStyle name="Ongeldig" xfId="61"/>
    <cellStyle name="perc1nul" xfId="62"/>
    <cellStyle name="perc2nul" xfId="63"/>
    <cellStyle name="perc3nul" xfId="64"/>
    <cellStyle name="perc4" xfId="65"/>
    <cellStyle name="Percent" xfId="66"/>
    <cellStyle name="Standaard_96palg02" xfId="67"/>
    <cellStyle name="Standaard_96palg03" xfId="68"/>
    <cellStyle name="Standaard_96palg05 (2)" xfId="69"/>
    <cellStyle name="Standaard_96palg06" xfId="70"/>
    <cellStyle name="Standaard_96palg07" xfId="71"/>
    <cellStyle name="Standaard_96palg09 (2)" xfId="72"/>
    <cellStyle name="Titel" xfId="73"/>
    <cellStyle name="Totaal" xfId="74"/>
    <cellStyle name="Uitvoer" xfId="75"/>
    <cellStyle name="Currency" xfId="76"/>
    <cellStyle name="Currency [0]" xfId="77"/>
    <cellStyle name="Verklarende tekst" xfId="78"/>
    <cellStyle name="Waarschuwingsteks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A48" sqref="A48"/>
    </sheetView>
  </sheetViews>
  <sheetFormatPr defaultColWidth="9.140625" defaultRowHeight="12.75"/>
  <cols>
    <col min="2" max="2" width="3.7109375" style="0" customWidth="1"/>
  </cols>
  <sheetData>
    <row r="1" ht="15">
      <c r="A1" s="223" t="s">
        <v>53</v>
      </c>
    </row>
    <row r="3" ht="12.75">
      <c r="A3" s="215" t="s">
        <v>54</v>
      </c>
    </row>
    <row r="4" spans="1:3" ht="12.75">
      <c r="A4" t="s">
        <v>145</v>
      </c>
      <c r="C4" s="216" t="s">
        <v>55</v>
      </c>
    </row>
    <row r="5" spans="1:3" ht="12.75">
      <c r="A5" t="s">
        <v>146</v>
      </c>
      <c r="C5" s="216" t="s">
        <v>56</v>
      </c>
    </row>
    <row r="6" spans="1:3" ht="12.75">
      <c r="A6" t="s">
        <v>147</v>
      </c>
      <c r="C6" s="216" t="s">
        <v>57</v>
      </c>
    </row>
    <row r="7" ht="12.75">
      <c r="C7" s="216"/>
    </row>
    <row r="8" spans="1:3" ht="12.75">
      <c r="A8" s="215" t="s">
        <v>58</v>
      </c>
      <c r="C8" s="216"/>
    </row>
    <row r="9" spans="1:3" ht="12.75">
      <c r="A9" t="s">
        <v>148</v>
      </c>
      <c r="C9" s="216" t="s">
        <v>59</v>
      </c>
    </row>
    <row r="10" spans="1:3" ht="12.75">
      <c r="A10" t="s">
        <v>149</v>
      </c>
      <c r="C10" s="216" t="s">
        <v>60</v>
      </c>
    </row>
    <row r="11" spans="1:3" ht="12.75">
      <c r="A11" t="s">
        <v>150</v>
      </c>
      <c r="C11" s="4" t="s">
        <v>79</v>
      </c>
    </row>
    <row r="12" spans="1:3" ht="12.75">
      <c r="A12" t="s">
        <v>151</v>
      </c>
      <c r="C12" s="216" t="s">
        <v>61</v>
      </c>
    </row>
    <row r="13" spans="1:3" ht="12.75">
      <c r="A13" t="s">
        <v>152</v>
      </c>
      <c r="C13" s="216" t="s">
        <v>56</v>
      </c>
    </row>
    <row r="14" spans="1:3" ht="12.75">
      <c r="A14" t="s">
        <v>153</v>
      </c>
      <c r="C14" s="216" t="s">
        <v>62</v>
      </c>
    </row>
    <row r="15" spans="1:3" ht="12.75">
      <c r="A15" t="s">
        <v>154</v>
      </c>
      <c r="C15" s="4" t="s">
        <v>78</v>
      </c>
    </row>
    <row r="16" spans="1:3" ht="12.75">
      <c r="A16" t="s">
        <v>155</v>
      </c>
      <c r="C16" s="216" t="s">
        <v>63</v>
      </c>
    </row>
    <row r="17" spans="1:3" ht="12.75">
      <c r="A17" t="s">
        <v>156</v>
      </c>
      <c r="C17" s="216" t="s">
        <v>57</v>
      </c>
    </row>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71" sqref="A71"/>
    </sheetView>
  </sheetViews>
  <sheetFormatPr defaultColWidth="9.28125" defaultRowHeight="12.75"/>
  <cols>
    <col min="1" max="1" width="33.8515625" style="113" customWidth="1"/>
    <col min="2" max="9" width="9.421875" style="113" customWidth="1"/>
    <col min="10" max="16384" width="9.28125" style="113" customWidth="1"/>
  </cols>
  <sheetData>
    <row r="1" ht="12.75">
      <c r="A1" s="112" t="s">
        <v>122</v>
      </c>
    </row>
    <row r="2" spans="1:9" ht="12.75">
      <c r="A2" s="260" t="s">
        <v>17</v>
      </c>
      <c r="B2" s="260"/>
      <c r="C2" s="260"/>
      <c r="D2" s="260"/>
      <c r="E2" s="260"/>
      <c r="F2" s="260"/>
      <c r="G2" s="260"/>
      <c r="H2" s="260"/>
      <c r="I2" s="260"/>
    </row>
    <row r="3" spans="1:6" ht="12.75">
      <c r="A3" s="115"/>
      <c r="B3" s="116"/>
      <c r="C3" s="116"/>
      <c r="D3" s="116"/>
      <c r="E3" s="116"/>
      <c r="F3" s="116"/>
    </row>
    <row r="4" spans="1:9" ht="12.75">
      <c r="A4" s="260" t="s">
        <v>49</v>
      </c>
      <c r="B4" s="260"/>
      <c r="C4" s="260"/>
      <c r="D4" s="260"/>
      <c r="E4" s="260"/>
      <c r="F4" s="260"/>
      <c r="G4" s="260"/>
      <c r="H4" s="260"/>
      <c r="I4" s="260"/>
    </row>
    <row r="5" ht="13.5" thickBot="1">
      <c r="A5" s="114"/>
    </row>
    <row r="6" spans="1:9" ht="12.75">
      <c r="A6" s="117"/>
      <c r="B6" s="118"/>
      <c r="C6" s="118"/>
      <c r="D6" s="118"/>
      <c r="E6" s="118"/>
      <c r="F6" s="118"/>
      <c r="G6" s="118"/>
      <c r="H6" s="118"/>
      <c r="I6" s="118"/>
    </row>
    <row r="7" spans="1:9" s="138" customFormat="1" ht="12.75">
      <c r="A7" s="136"/>
      <c r="B7" s="137" t="s">
        <v>48</v>
      </c>
      <c r="C7" s="137" t="s">
        <v>51</v>
      </c>
      <c r="D7" s="137" t="s">
        <v>67</v>
      </c>
      <c r="E7" s="224" t="s">
        <v>68</v>
      </c>
      <c r="F7" s="224" t="s">
        <v>69</v>
      </c>
      <c r="G7" s="224" t="s">
        <v>80</v>
      </c>
      <c r="H7" s="224" t="s">
        <v>114</v>
      </c>
      <c r="I7" s="224" t="s">
        <v>124</v>
      </c>
    </row>
    <row r="8" spans="1:9" ht="12.75">
      <c r="A8" s="119"/>
      <c r="B8" s="120"/>
      <c r="C8" s="120"/>
      <c r="D8" s="120"/>
      <c r="E8" s="120"/>
      <c r="F8" s="120"/>
      <c r="G8" s="120"/>
      <c r="H8" s="120"/>
      <c r="I8" s="120"/>
    </row>
    <row r="9" spans="1:9" ht="12.75">
      <c r="A9" s="112"/>
      <c r="B9" s="121"/>
      <c r="C9" s="121"/>
      <c r="D9" s="121"/>
      <c r="E9" s="121"/>
      <c r="F9" s="121"/>
      <c r="G9" s="121"/>
      <c r="H9" s="121"/>
      <c r="I9" s="121"/>
    </row>
    <row r="10" spans="1:9" ht="12.75">
      <c r="A10" s="112" t="s">
        <v>7</v>
      </c>
      <c r="B10" s="120"/>
      <c r="C10" s="120"/>
      <c r="D10" s="120"/>
      <c r="E10" s="120"/>
      <c r="F10" s="120"/>
      <c r="G10" s="120"/>
      <c r="H10" s="120"/>
      <c r="I10" s="120"/>
    </row>
    <row r="11" spans="1:9" ht="12.75">
      <c r="A11" s="114" t="s">
        <v>18</v>
      </c>
      <c r="B11" s="122">
        <v>38838</v>
      </c>
      <c r="C11" s="122">
        <v>39053</v>
      </c>
      <c r="D11" s="122">
        <v>39217</v>
      </c>
      <c r="E11" s="122">
        <v>40493</v>
      </c>
      <c r="F11" s="122">
        <v>40198</v>
      </c>
      <c r="G11" s="122">
        <v>41417</v>
      </c>
      <c r="H11" s="122">
        <v>41808</v>
      </c>
      <c r="I11" s="122">
        <v>42348</v>
      </c>
    </row>
    <row r="12" spans="1:9" ht="12.75">
      <c r="A12" s="114" t="s">
        <v>19</v>
      </c>
      <c r="B12" s="122">
        <v>14947</v>
      </c>
      <c r="C12" s="122">
        <v>14973</v>
      </c>
      <c r="D12" s="122">
        <v>14981</v>
      </c>
      <c r="E12" s="122">
        <v>13733</v>
      </c>
      <c r="F12" s="122">
        <v>15795</v>
      </c>
      <c r="G12" s="122">
        <v>15355</v>
      </c>
      <c r="H12" s="122">
        <v>15680</v>
      </c>
      <c r="I12" s="122">
        <v>15796</v>
      </c>
    </row>
    <row r="13" spans="1:9" s="125" customFormat="1" ht="12.75">
      <c r="A13" s="123" t="s">
        <v>4</v>
      </c>
      <c r="B13" s="124">
        <f aca="true" t="shared" si="0" ref="B13:G13">SUM(B11:B12)</f>
        <v>53785</v>
      </c>
      <c r="C13" s="124">
        <f t="shared" si="0"/>
        <v>54026</v>
      </c>
      <c r="D13" s="124">
        <f t="shared" si="0"/>
        <v>54198</v>
      </c>
      <c r="E13" s="124">
        <f t="shared" si="0"/>
        <v>54226</v>
      </c>
      <c r="F13" s="124">
        <f t="shared" si="0"/>
        <v>55993</v>
      </c>
      <c r="G13" s="124">
        <f t="shared" si="0"/>
        <v>56772</v>
      </c>
      <c r="H13" s="124">
        <f>SUM(H11:H12)</f>
        <v>57488</v>
      </c>
      <c r="I13" s="124">
        <f>SUM(I11:I12)</f>
        <v>58144</v>
      </c>
    </row>
    <row r="14" spans="1:9" ht="12.75">
      <c r="A14" s="126"/>
      <c r="B14" s="122"/>
      <c r="C14" s="122"/>
      <c r="D14" s="122"/>
      <c r="E14" s="122"/>
      <c r="F14" s="122"/>
      <c r="G14" s="122"/>
      <c r="H14" s="122"/>
      <c r="I14" s="122"/>
    </row>
    <row r="15" spans="1:9" ht="12.75">
      <c r="A15" s="112" t="s">
        <v>11</v>
      </c>
      <c r="B15" s="122"/>
      <c r="C15" s="122"/>
      <c r="D15" s="122"/>
      <c r="E15" s="122"/>
      <c r="F15" s="122"/>
      <c r="G15" s="122"/>
      <c r="H15" s="122"/>
      <c r="I15" s="122"/>
    </row>
    <row r="16" spans="1:9" ht="12.75">
      <c r="A16" s="114" t="s">
        <v>18</v>
      </c>
      <c r="B16" s="122">
        <v>4714</v>
      </c>
      <c r="C16" s="122">
        <v>4794</v>
      </c>
      <c r="D16" s="122">
        <v>4910</v>
      </c>
      <c r="E16" s="122">
        <v>5190</v>
      </c>
      <c r="F16" s="122">
        <v>5214</v>
      </c>
      <c r="G16" s="122">
        <v>5231</v>
      </c>
      <c r="H16" s="122">
        <v>5223</v>
      </c>
      <c r="I16" s="122">
        <v>5205</v>
      </c>
    </row>
    <row r="17" spans="1:9" ht="12.75">
      <c r="A17" s="114" t="s">
        <v>19</v>
      </c>
      <c r="B17" s="122">
        <v>1888</v>
      </c>
      <c r="C17" s="122">
        <v>1941</v>
      </c>
      <c r="D17" s="122">
        <v>1913</v>
      </c>
      <c r="E17" s="122">
        <v>1723</v>
      </c>
      <c r="F17" s="122">
        <v>1725</v>
      </c>
      <c r="G17" s="122">
        <v>1777</v>
      </c>
      <c r="H17" s="122">
        <v>1808</v>
      </c>
      <c r="I17" s="122">
        <v>1753</v>
      </c>
    </row>
    <row r="18" spans="1:9" s="125" customFormat="1" ht="12.75">
      <c r="A18" s="123" t="s">
        <v>4</v>
      </c>
      <c r="B18" s="124">
        <f aca="true" t="shared" si="1" ref="B18:G18">SUM(B16:B17)</f>
        <v>6602</v>
      </c>
      <c r="C18" s="124">
        <f t="shared" si="1"/>
        <v>6735</v>
      </c>
      <c r="D18" s="124">
        <f t="shared" si="1"/>
        <v>6823</v>
      </c>
      <c r="E18" s="124">
        <f t="shared" si="1"/>
        <v>6913</v>
      </c>
      <c r="F18" s="124">
        <f t="shared" si="1"/>
        <v>6939</v>
      </c>
      <c r="G18" s="124">
        <f t="shared" si="1"/>
        <v>7008</v>
      </c>
      <c r="H18" s="124">
        <f>SUM(H16:H17)</f>
        <v>7031</v>
      </c>
      <c r="I18" s="124">
        <f>SUM(I16:I17)</f>
        <v>6958</v>
      </c>
    </row>
    <row r="19" spans="1:9" ht="12.75">
      <c r="A19" s="114"/>
      <c r="B19" s="122"/>
      <c r="C19" s="122"/>
      <c r="D19" s="122"/>
      <c r="E19" s="122"/>
      <c r="F19" s="122"/>
      <c r="G19" s="122"/>
      <c r="H19" s="122"/>
      <c r="I19" s="122"/>
    </row>
    <row r="20" spans="1:9" ht="12.75">
      <c r="A20" s="112" t="s">
        <v>12</v>
      </c>
      <c r="B20" s="122"/>
      <c r="C20" s="122"/>
      <c r="D20" s="122"/>
      <c r="E20" s="122"/>
      <c r="F20" s="122"/>
      <c r="G20" s="122"/>
      <c r="H20" s="122"/>
      <c r="I20" s="122"/>
    </row>
    <row r="21" spans="1:9" ht="12.75">
      <c r="A21" s="114" t="s">
        <v>18</v>
      </c>
      <c r="B21" s="122">
        <v>46662</v>
      </c>
      <c r="C21" s="122">
        <v>46499</v>
      </c>
      <c r="D21" s="122">
        <v>46543</v>
      </c>
      <c r="E21" s="122">
        <v>47866</v>
      </c>
      <c r="F21" s="122">
        <v>46842</v>
      </c>
      <c r="G21" s="122">
        <v>46327</v>
      </c>
      <c r="H21" s="122">
        <v>45667</v>
      </c>
      <c r="I21" s="122">
        <v>45722</v>
      </c>
    </row>
    <row r="22" spans="1:9" ht="12.75">
      <c r="A22" s="114" t="s">
        <v>19</v>
      </c>
      <c r="B22" s="122">
        <v>16934</v>
      </c>
      <c r="C22" s="122">
        <f>16845-310</f>
        <v>16535</v>
      </c>
      <c r="D22" s="122">
        <v>15878</v>
      </c>
      <c r="E22" s="122">
        <v>13947</v>
      </c>
      <c r="F22" s="122">
        <v>14087</v>
      </c>
      <c r="G22" s="122">
        <v>14094</v>
      </c>
      <c r="H22" s="122">
        <v>14297</v>
      </c>
      <c r="I22" s="122">
        <v>13909</v>
      </c>
    </row>
    <row r="23" spans="1:9" s="125" customFormat="1" ht="12.75">
      <c r="A23" s="123" t="s">
        <v>4</v>
      </c>
      <c r="B23" s="124">
        <f aca="true" t="shared" si="2" ref="B23:G23">SUM(B21:B22)</f>
        <v>63596</v>
      </c>
      <c r="C23" s="124">
        <f t="shared" si="2"/>
        <v>63034</v>
      </c>
      <c r="D23" s="124">
        <f t="shared" si="2"/>
        <v>62421</v>
      </c>
      <c r="E23" s="124">
        <f t="shared" si="2"/>
        <v>61813</v>
      </c>
      <c r="F23" s="124">
        <f t="shared" si="2"/>
        <v>60929</v>
      </c>
      <c r="G23" s="124">
        <f t="shared" si="2"/>
        <v>60421</v>
      </c>
      <c r="H23" s="124">
        <f>SUM(H21:H22)</f>
        <v>59964</v>
      </c>
      <c r="I23" s="124">
        <f>SUM(I21:I22)</f>
        <v>59631</v>
      </c>
    </row>
    <row r="24" spans="1:9" ht="12.75">
      <c r="A24" s="126"/>
      <c r="B24" s="122"/>
      <c r="C24" s="122"/>
      <c r="D24" s="122"/>
      <c r="E24" s="122"/>
      <c r="F24" s="122"/>
      <c r="G24" s="122"/>
      <c r="H24" s="122"/>
      <c r="I24" s="122"/>
    </row>
    <row r="25" spans="1:9" ht="12.75">
      <c r="A25" s="112" t="s">
        <v>13</v>
      </c>
      <c r="B25" s="122"/>
      <c r="C25" s="122"/>
      <c r="D25" s="122"/>
      <c r="E25" s="122"/>
      <c r="F25" s="122"/>
      <c r="G25" s="122"/>
      <c r="H25" s="122"/>
      <c r="I25" s="122"/>
    </row>
    <row r="26" spans="1:9" ht="12.75">
      <c r="A26" s="114" t="s">
        <v>18</v>
      </c>
      <c r="B26" s="122">
        <v>4309</v>
      </c>
      <c r="C26" s="122">
        <v>4459</v>
      </c>
      <c r="D26" s="122">
        <v>4615</v>
      </c>
      <c r="E26" s="122">
        <v>4923</v>
      </c>
      <c r="F26" s="122">
        <v>5042</v>
      </c>
      <c r="G26" s="122">
        <v>5215</v>
      </c>
      <c r="H26" s="122">
        <v>5338</v>
      </c>
      <c r="I26" s="122">
        <v>5470</v>
      </c>
    </row>
    <row r="27" spans="1:9" ht="12.75">
      <c r="A27" s="114" t="s">
        <v>19</v>
      </c>
      <c r="B27" s="122">
        <v>1933</v>
      </c>
      <c r="C27" s="122">
        <v>2051</v>
      </c>
      <c r="D27" s="122">
        <v>2119</v>
      </c>
      <c r="E27" s="122">
        <v>2044</v>
      </c>
      <c r="F27" s="122">
        <v>2074</v>
      </c>
      <c r="G27" s="122">
        <v>2119</v>
      </c>
      <c r="H27" s="122">
        <v>2140</v>
      </c>
      <c r="I27" s="122">
        <v>2103</v>
      </c>
    </row>
    <row r="28" spans="1:9" s="125" customFormat="1" ht="12.75">
      <c r="A28" s="123" t="s">
        <v>4</v>
      </c>
      <c r="B28" s="124">
        <f aca="true" t="shared" si="3" ref="B28:G28">SUM(B26:B27)</f>
        <v>6242</v>
      </c>
      <c r="C28" s="124">
        <f t="shared" si="3"/>
        <v>6510</v>
      </c>
      <c r="D28" s="124">
        <f t="shared" si="3"/>
        <v>6734</v>
      </c>
      <c r="E28" s="124">
        <f t="shared" si="3"/>
        <v>6967</v>
      </c>
      <c r="F28" s="124">
        <f t="shared" si="3"/>
        <v>7116</v>
      </c>
      <c r="G28" s="124">
        <f t="shared" si="3"/>
        <v>7334</v>
      </c>
      <c r="H28" s="124">
        <f>SUM(H26:H27)</f>
        <v>7478</v>
      </c>
      <c r="I28" s="124">
        <f>SUM(I26:I27)</f>
        <v>7573</v>
      </c>
    </row>
    <row r="29" spans="1:9" s="125" customFormat="1" ht="12.75">
      <c r="A29" s="123"/>
      <c r="B29" s="127"/>
      <c r="C29" s="127"/>
      <c r="D29" s="127"/>
      <c r="E29" s="127"/>
      <c r="F29" s="127"/>
      <c r="G29" s="127"/>
      <c r="H29" s="127"/>
      <c r="I29" s="127"/>
    </row>
    <row r="30" spans="1:9" ht="12.75">
      <c r="A30" s="112" t="s">
        <v>75</v>
      </c>
      <c r="B30" s="122"/>
      <c r="C30" s="122"/>
      <c r="D30" s="122"/>
      <c r="E30" s="122"/>
      <c r="F30" s="122"/>
      <c r="G30" s="122"/>
      <c r="H30" s="122"/>
      <c r="I30" s="122"/>
    </row>
    <row r="31" spans="1:9" ht="12.75">
      <c r="A31" s="114" t="s">
        <v>18</v>
      </c>
      <c r="B31" s="122"/>
      <c r="C31" s="122">
        <v>673</v>
      </c>
      <c r="D31" s="122">
        <v>736</v>
      </c>
      <c r="E31" s="122">
        <v>804</v>
      </c>
      <c r="F31" s="122">
        <v>838</v>
      </c>
      <c r="G31" s="122">
        <v>920</v>
      </c>
      <c r="H31" s="122">
        <v>1017</v>
      </c>
      <c r="I31" s="122">
        <v>1075</v>
      </c>
    </row>
    <row r="32" spans="1:9" ht="12.75">
      <c r="A32" s="114" t="s">
        <v>19</v>
      </c>
      <c r="B32" s="122"/>
      <c r="C32" s="122">
        <v>310</v>
      </c>
      <c r="D32" s="122">
        <v>359</v>
      </c>
      <c r="E32" s="122">
        <v>376</v>
      </c>
      <c r="F32" s="122">
        <v>432</v>
      </c>
      <c r="G32" s="122">
        <v>454</v>
      </c>
      <c r="H32" s="122">
        <v>453</v>
      </c>
      <c r="I32" s="122">
        <v>438</v>
      </c>
    </row>
    <row r="33" spans="1:9" s="125" customFormat="1" ht="12.75">
      <c r="A33" s="123" t="s">
        <v>4</v>
      </c>
      <c r="B33" s="213"/>
      <c r="C33" s="124">
        <f aca="true" t="shared" si="4" ref="C33:H33">SUM(C31:C32)</f>
        <v>983</v>
      </c>
      <c r="D33" s="124">
        <f t="shared" si="4"/>
        <v>1095</v>
      </c>
      <c r="E33" s="124">
        <f t="shared" si="4"/>
        <v>1180</v>
      </c>
      <c r="F33" s="124">
        <f t="shared" si="4"/>
        <v>1270</v>
      </c>
      <c r="G33" s="124">
        <f t="shared" si="4"/>
        <v>1374</v>
      </c>
      <c r="H33" s="124">
        <f t="shared" si="4"/>
        <v>1470</v>
      </c>
      <c r="I33" s="124">
        <f>SUM(I31:I32)</f>
        <v>1513</v>
      </c>
    </row>
    <row r="34" spans="1:9" ht="12.75">
      <c r="A34" s="114"/>
      <c r="B34" s="122"/>
      <c r="C34" s="122"/>
      <c r="D34" s="122"/>
      <c r="E34" s="122"/>
      <c r="F34" s="122"/>
      <c r="G34" s="122"/>
      <c r="H34" s="122"/>
      <c r="I34" s="122"/>
    </row>
    <row r="35" spans="1:9" ht="12.75">
      <c r="A35" s="112" t="s">
        <v>14</v>
      </c>
      <c r="B35" s="122"/>
      <c r="C35" s="122"/>
      <c r="D35" s="122"/>
      <c r="E35" s="122"/>
      <c r="F35" s="122"/>
      <c r="G35" s="122"/>
      <c r="H35" s="122"/>
      <c r="I35" s="122"/>
    </row>
    <row r="36" spans="1:9" ht="12.75">
      <c r="A36" s="114" t="s">
        <v>18</v>
      </c>
      <c r="B36" s="122">
        <v>5401</v>
      </c>
      <c r="C36" s="122">
        <v>5477</v>
      </c>
      <c r="D36" s="122">
        <v>5483</v>
      </c>
      <c r="E36" s="122">
        <v>5414</v>
      </c>
      <c r="F36" s="122">
        <v>5405</v>
      </c>
      <c r="G36" s="122">
        <v>4773</v>
      </c>
      <c r="H36" s="122">
        <v>4499</v>
      </c>
      <c r="I36" s="122">
        <v>4574</v>
      </c>
    </row>
    <row r="37" spans="1:9" ht="12.75">
      <c r="A37" s="114" t="s">
        <v>19</v>
      </c>
      <c r="B37" s="122">
        <v>4742</v>
      </c>
      <c r="C37" s="122">
        <v>4807</v>
      </c>
      <c r="D37" s="122">
        <v>4737</v>
      </c>
      <c r="E37" s="122">
        <v>4720</v>
      </c>
      <c r="F37" s="122">
        <v>4748</v>
      </c>
      <c r="G37" s="122">
        <v>4012</v>
      </c>
      <c r="H37" s="122">
        <v>3877</v>
      </c>
      <c r="I37" s="122">
        <v>3754</v>
      </c>
    </row>
    <row r="38" spans="1:9" s="125" customFormat="1" ht="12.75">
      <c r="A38" s="123" t="s">
        <v>4</v>
      </c>
      <c r="B38" s="124">
        <f aca="true" t="shared" si="5" ref="B38:G38">SUM(B36:B37)</f>
        <v>10143</v>
      </c>
      <c r="C38" s="124">
        <f t="shared" si="5"/>
        <v>10284</v>
      </c>
      <c r="D38" s="124">
        <f t="shared" si="5"/>
        <v>10220</v>
      </c>
      <c r="E38" s="124">
        <f t="shared" si="5"/>
        <v>10134</v>
      </c>
      <c r="F38" s="124">
        <f t="shared" si="5"/>
        <v>10153</v>
      </c>
      <c r="G38" s="124">
        <f t="shared" si="5"/>
        <v>8785</v>
      </c>
      <c r="H38" s="124">
        <f>SUM(H36:H37)</f>
        <v>8376</v>
      </c>
      <c r="I38" s="124">
        <f>SUM(I36:I37)</f>
        <v>8328</v>
      </c>
    </row>
    <row r="39" spans="1:9" s="125" customFormat="1" ht="12.75">
      <c r="A39" s="123"/>
      <c r="B39" s="127"/>
      <c r="C39" s="127"/>
      <c r="D39" s="127"/>
      <c r="E39" s="127"/>
      <c r="F39" s="127"/>
      <c r="G39" s="127"/>
      <c r="H39" s="127"/>
      <c r="I39" s="127"/>
    </row>
    <row r="40" spans="1:9" s="39" customFormat="1" ht="12.75">
      <c r="A40" s="205" t="s">
        <v>50</v>
      </c>
      <c r="B40" s="41"/>
      <c r="C40" s="41"/>
      <c r="D40" s="41"/>
      <c r="E40" s="41"/>
      <c r="F40" s="41"/>
      <c r="G40" s="41"/>
      <c r="H40" s="41"/>
      <c r="I40" s="41"/>
    </row>
    <row r="41" spans="1:9" s="39" customFormat="1" ht="12.75">
      <c r="A41" s="28" t="s">
        <v>18</v>
      </c>
      <c r="B41" s="41">
        <v>0</v>
      </c>
      <c r="C41" s="41">
        <v>0</v>
      </c>
      <c r="D41" s="41">
        <v>0</v>
      </c>
      <c r="E41" s="41">
        <v>0</v>
      </c>
      <c r="F41" s="41">
        <v>0</v>
      </c>
      <c r="G41" s="41">
        <v>0</v>
      </c>
      <c r="H41" s="41">
        <v>0</v>
      </c>
      <c r="I41" s="41">
        <v>0</v>
      </c>
    </row>
    <row r="42" spans="1:9" s="39" customFormat="1" ht="12.75">
      <c r="A42" s="28" t="s">
        <v>19</v>
      </c>
      <c r="B42" s="36">
        <v>736</v>
      </c>
      <c r="C42" s="36">
        <v>772</v>
      </c>
      <c r="D42" s="36">
        <v>790</v>
      </c>
      <c r="E42" s="36">
        <v>825</v>
      </c>
      <c r="F42" s="36">
        <v>834</v>
      </c>
      <c r="G42" s="36">
        <v>865</v>
      </c>
      <c r="H42" s="36">
        <v>980</v>
      </c>
      <c r="I42" s="36">
        <v>1088</v>
      </c>
    </row>
    <row r="43" spans="1:9" s="39" customFormat="1" ht="12.75">
      <c r="A43" s="37" t="s">
        <v>4</v>
      </c>
      <c r="B43" s="38">
        <f aca="true" t="shared" si="6" ref="B43:G43">B41+B42</f>
        <v>736</v>
      </c>
      <c r="C43" s="38">
        <f t="shared" si="6"/>
        <v>772</v>
      </c>
      <c r="D43" s="38">
        <f t="shared" si="6"/>
        <v>790</v>
      </c>
      <c r="E43" s="38">
        <f t="shared" si="6"/>
        <v>825</v>
      </c>
      <c r="F43" s="38">
        <f t="shared" si="6"/>
        <v>834</v>
      </c>
      <c r="G43" s="38">
        <f t="shared" si="6"/>
        <v>865</v>
      </c>
      <c r="H43" s="38">
        <f>H41+H42</f>
        <v>980</v>
      </c>
      <c r="I43" s="38">
        <f>I41+I42</f>
        <v>1088</v>
      </c>
    </row>
    <row r="44" spans="1:9" ht="12.75">
      <c r="A44" s="123"/>
      <c r="B44" s="122"/>
      <c r="C44" s="122"/>
      <c r="D44" s="122"/>
      <c r="E44" s="122"/>
      <c r="F44" s="122"/>
      <c r="G44" s="122"/>
      <c r="H44" s="122"/>
      <c r="I44" s="122"/>
    </row>
    <row r="45" spans="1:9" ht="12.75">
      <c r="A45" s="1" t="s">
        <v>46</v>
      </c>
      <c r="B45" s="122"/>
      <c r="C45" s="122"/>
      <c r="D45" s="122"/>
      <c r="E45" s="122"/>
      <c r="F45" s="122"/>
      <c r="G45" s="122"/>
      <c r="H45" s="122"/>
      <c r="I45" s="122"/>
    </row>
    <row r="46" spans="1:9" ht="12.75">
      <c r="A46" s="114" t="s">
        <v>18</v>
      </c>
      <c r="B46" s="122">
        <v>3118</v>
      </c>
      <c r="C46" s="122">
        <v>3218</v>
      </c>
      <c r="D46" s="122">
        <v>3328</v>
      </c>
      <c r="E46" s="122">
        <v>3395</v>
      </c>
      <c r="F46" s="122">
        <v>3451</v>
      </c>
      <c r="G46" s="122">
        <v>3487</v>
      </c>
      <c r="H46" s="122">
        <v>3472</v>
      </c>
      <c r="I46" s="122">
        <v>3485</v>
      </c>
    </row>
    <row r="47" spans="1:9" ht="12.75">
      <c r="A47" s="114" t="s">
        <v>19</v>
      </c>
      <c r="B47" s="122">
        <v>2391</v>
      </c>
      <c r="C47" s="122">
        <v>2346</v>
      </c>
      <c r="D47" s="122">
        <v>2318</v>
      </c>
      <c r="E47" s="122">
        <v>2285</v>
      </c>
      <c r="F47" s="122">
        <v>2292</v>
      </c>
      <c r="G47" s="122">
        <v>2327</v>
      </c>
      <c r="H47" s="122">
        <v>2385</v>
      </c>
      <c r="I47" s="122">
        <v>2421</v>
      </c>
    </row>
    <row r="48" spans="1:9" s="125" customFormat="1" ht="12.75">
      <c r="A48" s="123" t="s">
        <v>4</v>
      </c>
      <c r="B48" s="124">
        <f aca="true" t="shared" si="7" ref="B48:G48">SUM(B46:B47)</f>
        <v>5509</v>
      </c>
      <c r="C48" s="124">
        <f t="shared" si="7"/>
        <v>5564</v>
      </c>
      <c r="D48" s="124">
        <f t="shared" si="7"/>
        <v>5646</v>
      </c>
      <c r="E48" s="124">
        <f t="shared" si="7"/>
        <v>5680</v>
      </c>
      <c r="F48" s="124">
        <f t="shared" si="7"/>
        <v>5743</v>
      </c>
      <c r="G48" s="124">
        <f t="shared" si="7"/>
        <v>5814</v>
      </c>
      <c r="H48" s="124">
        <f>SUM(H46:H47)</f>
        <v>5857</v>
      </c>
      <c r="I48" s="124">
        <f>SUM(I46:I47)</f>
        <v>5906</v>
      </c>
    </row>
    <row r="49" spans="1:9" ht="12.75">
      <c r="A49" s="114"/>
      <c r="B49" s="122"/>
      <c r="C49" s="122"/>
      <c r="D49" s="122"/>
      <c r="E49" s="122"/>
      <c r="F49" s="122"/>
      <c r="G49" s="122"/>
      <c r="H49" s="122"/>
      <c r="I49" s="122"/>
    </row>
    <row r="50" spans="1:9" ht="12.75">
      <c r="A50" s="1" t="s">
        <v>47</v>
      </c>
      <c r="B50" s="122"/>
      <c r="C50" s="122"/>
      <c r="D50" s="122"/>
      <c r="E50" s="122"/>
      <c r="F50" s="122"/>
      <c r="G50" s="122"/>
      <c r="H50" s="122"/>
      <c r="I50" s="122"/>
    </row>
    <row r="51" spans="1:9" ht="12.75">
      <c r="A51" s="114" t="s">
        <v>18</v>
      </c>
      <c r="B51" s="122">
        <v>469</v>
      </c>
      <c r="C51" s="122">
        <v>500</v>
      </c>
      <c r="D51" s="122">
        <v>550</v>
      </c>
      <c r="E51" s="122">
        <v>569</v>
      </c>
      <c r="F51" s="122">
        <v>575</v>
      </c>
      <c r="G51" s="122">
        <v>589</v>
      </c>
      <c r="H51" s="122">
        <v>568</v>
      </c>
      <c r="I51" s="122">
        <v>559</v>
      </c>
    </row>
    <row r="52" spans="1:9" ht="12.75">
      <c r="A52" s="114" t="s">
        <v>19</v>
      </c>
      <c r="B52" s="122">
        <v>756</v>
      </c>
      <c r="C52" s="122">
        <v>753</v>
      </c>
      <c r="D52" s="122">
        <v>704</v>
      </c>
      <c r="E52" s="122">
        <v>692</v>
      </c>
      <c r="F52" s="122">
        <v>640</v>
      </c>
      <c r="G52" s="122">
        <v>605</v>
      </c>
      <c r="H52" s="122">
        <v>632</v>
      </c>
      <c r="I52" s="122">
        <v>637</v>
      </c>
    </row>
    <row r="53" spans="1:9" s="125" customFormat="1" ht="12.75">
      <c r="A53" s="123" t="s">
        <v>4</v>
      </c>
      <c r="B53" s="124">
        <f aca="true" t="shared" si="8" ref="B53:G53">SUM(B51:B52)</f>
        <v>1225</v>
      </c>
      <c r="C53" s="124">
        <f t="shared" si="8"/>
        <v>1253</v>
      </c>
      <c r="D53" s="124">
        <f t="shared" si="8"/>
        <v>1254</v>
      </c>
      <c r="E53" s="124">
        <f t="shared" si="8"/>
        <v>1261</v>
      </c>
      <c r="F53" s="124">
        <f t="shared" si="8"/>
        <v>1215</v>
      </c>
      <c r="G53" s="124">
        <f t="shared" si="8"/>
        <v>1194</v>
      </c>
      <c r="H53" s="124">
        <f>SUM(H51:H52)</f>
        <v>1200</v>
      </c>
      <c r="I53" s="124">
        <f>SUM(I51:I52)</f>
        <v>1196</v>
      </c>
    </row>
    <row r="54" spans="1:9" s="125" customFormat="1" ht="12.75">
      <c r="A54" s="123"/>
      <c r="B54" s="127"/>
      <c r="C54" s="127"/>
      <c r="D54" s="127"/>
      <c r="E54" s="127"/>
      <c r="F54" s="127"/>
      <c r="G54" s="127"/>
      <c r="H54" s="127"/>
      <c r="I54" s="127"/>
    </row>
    <row r="55" spans="1:9" ht="12.75">
      <c r="A55" s="112" t="s">
        <v>15</v>
      </c>
      <c r="B55" s="122"/>
      <c r="C55" s="122"/>
      <c r="D55" s="122"/>
      <c r="E55" s="122"/>
      <c r="F55" s="122"/>
      <c r="G55" s="122"/>
      <c r="H55" s="122"/>
      <c r="I55" s="122"/>
    </row>
    <row r="56" spans="1:9" ht="12.75">
      <c r="A56" s="114" t="s">
        <v>18</v>
      </c>
      <c r="B56" s="122">
        <v>3494</v>
      </c>
      <c r="C56" s="122">
        <v>3575</v>
      </c>
      <c r="D56" s="122">
        <v>3637</v>
      </c>
      <c r="E56" s="122">
        <v>3732</v>
      </c>
      <c r="F56" s="122">
        <v>3735</v>
      </c>
      <c r="G56" s="122">
        <v>3788</v>
      </c>
      <c r="H56" s="122">
        <v>3804</v>
      </c>
      <c r="I56" s="122">
        <v>3809</v>
      </c>
    </row>
    <row r="57" spans="1:9" ht="12.75">
      <c r="A57" s="114" t="s">
        <v>19</v>
      </c>
      <c r="B57" s="122">
        <v>1708</v>
      </c>
      <c r="C57" s="122">
        <v>1706</v>
      </c>
      <c r="D57" s="122">
        <v>1705</v>
      </c>
      <c r="E57" s="122">
        <v>1631</v>
      </c>
      <c r="F57" s="122">
        <v>1652</v>
      </c>
      <c r="G57" s="122">
        <v>1640</v>
      </c>
      <c r="H57" s="122">
        <v>1629</v>
      </c>
      <c r="I57" s="122">
        <v>1591</v>
      </c>
    </row>
    <row r="58" spans="1:9" s="125" customFormat="1" ht="12.75">
      <c r="A58" s="123" t="s">
        <v>4</v>
      </c>
      <c r="B58" s="124">
        <f aca="true" t="shared" si="9" ref="B58:G58">SUM(B56:B57)</f>
        <v>5202</v>
      </c>
      <c r="C58" s="124">
        <f t="shared" si="9"/>
        <v>5281</v>
      </c>
      <c r="D58" s="124">
        <f t="shared" si="9"/>
        <v>5342</v>
      </c>
      <c r="E58" s="124">
        <f t="shared" si="9"/>
        <v>5363</v>
      </c>
      <c r="F58" s="124">
        <f t="shared" si="9"/>
        <v>5387</v>
      </c>
      <c r="G58" s="124">
        <f t="shared" si="9"/>
        <v>5428</v>
      </c>
      <c r="H58" s="124">
        <f>SUM(H56:H57)</f>
        <v>5433</v>
      </c>
      <c r="I58" s="124">
        <f>SUM(I56:I57)</f>
        <v>5400</v>
      </c>
    </row>
    <row r="59" spans="1:9" ht="12.75">
      <c r="A59" s="123"/>
      <c r="B59" s="122"/>
      <c r="C59" s="122"/>
      <c r="D59" s="122"/>
      <c r="E59" s="122"/>
      <c r="F59" s="122"/>
      <c r="G59" s="122"/>
      <c r="H59" s="122"/>
      <c r="I59" s="122"/>
    </row>
    <row r="60" spans="1:9" ht="12.75">
      <c r="A60" s="185"/>
      <c r="B60" s="186"/>
      <c r="C60" s="186"/>
      <c r="D60" s="186"/>
      <c r="E60" s="186"/>
      <c r="F60" s="186"/>
      <c r="G60" s="186"/>
      <c r="H60" s="186"/>
      <c r="I60" s="186"/>
    </row>
    <row r="61" spans="1:9" s="27" customFormat="1" ht="12.75">
      <c r="A61" s="42" t="s">
        <v>134</v>
      </c>
      <c r="B61" s="36"/>
      <c r="C61" s="36"/>
      <c r="D61" s="36"/>
      <c r="E61" s="36"/>
      <c r="F61" s="36"/>
      <c r="G61" s="36"/>
      <c r="H61" s="36"/>
      <c r="I61" s="36"/>
    </row>
    <row r="62" spans="1:9" s="27" customFormat="1" ht="12.75">
      <c r="A62" s="28" t="s">
        <v>18</v>
      </c>
      <c r="B62" s="36">
        <f>SUM(B11,B16,B21,B26,B36,B46,B51,B56,B41)</f>
        <v>107005</v>
      </c>
      <c r="C62" s="36">
        <f aca="true" t="shared" si="10" ref="C62:I63">SUM(C11,C16,C21,C26,C31,C36,C46,C51,C56,C41)</f>
        <v>108248</v>
      </c>
      <c r="D62" s="36">
        <f t="shared" si="10"/>
        <v>109019</v>
      </c>
      <c r="E62" s="36">
        <f t="shared" si="10"/>
        <v>112386</v>
      </c>
      <c r="F62" s="36">
        <f t="shared" si="10"/>
        <v>111300</v>
      </c>
      <c r="G62" s="36">
        <f t="shared" si="10"/>
        <v>111747</v>
      </c>
      <c r="H62" s="36">
        <f t="shared" si="10"/>
        <v>111396</v>
      </c>
      <c r="I62" s="36">
        <f t="shared" si="10"/>
        <v>112247</v>
      </c>
    </row>
    <row r="63" spans="1:9" s="27" customFormat="1" ht="12.75">
      <c r="A63" s="28" t="s">
        <v>19</v>
      </c>
      <c r="B63" s="36">
        <f>SUM(B12,B17,B22,B27,B37,B47,B52,B57,B42)</f>
        <v>46035</v>
      </c>
      <c r="C63" s="36">
        <f t="shared" si="10"/>
        <v>46194</v>
      </c>
      <c r="D63" s="36">
        <f t="shared" si="10"/>
        <v>45504</v>
      </c>
      <c r="E63" s="36">
        <f t="shared" si="10"/>
        <v>41976</v>
      </c>
      <c r="F63" s="36">
        <f t="shared" si="10"/>
        <v>44279</v>
      </c>
      <c r="G63" s="36">
        <f t="shared" si="10"/>
        <v>43248</v>
      </c>
      <c r="H63" s="36">
        <f t="shared" si="10"/>
        <v>43881</v>
      </c>
      <c r="I63" s="36">
        <f t="shared" si="10"/>
        <v>43490</v>
      </c>
    </row>
    <row r="64" spans="1:9" s="39" customFormat="1" ht="12.75">
      <c r="A64" s="37" t="s">
        <v>4</v>
      </c>
      <c r="B64" s="38">
        <f aca="true" t="shared" si="11" ref="B64:G64">SUM(B62:B63)</f>
        <v>153040</v>
      </c>
      <c r="C64" s="38">
        <f t="shared" si="11"/>
        <v>154442</v>
      </c>
      <c r="D64" s="38">
        <f t="shared" si="11"/>
        <v>154523</v>
      </c>
      <c r="E64" s="38">
        <f t="shared" si="11"/>
        <v>154362</v>
      </c>
      <c r="F64" s="38">
        <f t="shared" si="11"/>
        <v>155579</v>
      </c>
      <c r="G64" s="38">
        <f t="shared" si="11"/>
        <v>154995</v>
      </c>
      <c r="H64" s="38">
        <f>SUM(H62:H63)</f>
        <v>155277</v>
      </c>
      <c r="I64" s="38">
        <f>SUM(I62:I63)</f>
        <v>155737</v>
      </c>
    </row>
    <row r="66" ht="12.75">
      <c r="A66" s="221" t="s">
        <v>64</v>
      </c>
    </row>
  </sheetData>
  <sheetProtection/>
  <mergeCells count="2">
    <mergeCell ref="A2:I2"/>
    <mergeCell ref="A4:I4"/>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83" r:id="rId1"/>
  <headerFooter alignWithMargins="0">
    <oddFooter>&amp;R&amp;A</oddFooter>
  </headerFooter>
  <rowBreaks count="1" manualBreakCount="1">
    <brk id="48" max="8" man="1"/>
  </rowBreaks>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A67" sqref="A67"/>
    </sheetView>
  </sheetViews>
  <sheetFormatPr defaultColWidth="9.140625" defaultRowHeight="12.75"/>
  <cols>
    <col min="1" max="1" width="28.00390625" style="0" customWidth="1"/>
    <col min="2" max="2" width="11.00390625" style="0" customWidth="1"/>
    <col min="3" max="4" width="10.28125" style="0" customWidth="1"/>
    <col min="10" max="10" width="10.7109375" style="0" customWidth="1"/>
    <col min="13" max="13" width="8.00390625" style="0" customWidth="1"/>
  </cols>
  <sheetData>
    <row r="1" spans="1:10" ht="12.75">
      <c r="A1" s="1" t="s">
        <v>122</v>
      </c>
      <c r="B1" s="2"/>
      <c r="C1" s="2"/>
      <c r="D1" s="2"/>
      <c r="E1" s="2"/>
      <c r="F1" s="2"/>
      <c r="G1" s="2"/>
      <c r="H1" s="2"/>
      <c r="I1" s="2"/>
      <c r="J1" s="2"/>
    </row>
    <row r="2" spans="1:10" ht="12.75">
      <c r="A2" s="5" t="s">
        <v>39</v>
      </c>
      <c r="B2" s="6"/>
      <c r="C2" s="6"/>
      <c r="D2" s="6"/>
      <c r="E2" s="7"/>
      <c r="F2" s="7"/>
      <c r="G2" s="6"/>
      <c r="H2" s="6"/>
      <c r="I2" s="6"/>
      <c r="J2" s="6"/>
    </row>
    <row r="3" spans="1:10" ht="12.75">
      <c r="A3" s="6"/>
      <c r="B3" s="6"/>
      <c r="C3" s="6"/>
      <c r="D3" s="6"/>
      <c r="E3" s="7"/>
      <c r="F3" s="5"/>
      <c r="G3" s="6"/>
      <c r="H3" s="6"/>
      <c r="I3" s="6"/>
      <c r="J3" s="6"/>
    </row>
    <row r="4" spans="1:10" ht="12.75">
      <c r="A4" s="5" t="s">
        <v>129</v>
      </c>
      <c r="B4" s="6"/>
      <c r="C4" s="6"/>
      <c r="D4" s="6"/>
      <c r="E4" s="7"/>
      <c r="F4" s="7"/>
      <c r="G4" s="6"/>
      <c r="H4" s="6"/>
      <c r="I4" s="6"/>
      <c r="J4" s="6"/>
    </row>
    <row r="5" spans="1:10" ht="12.75">
      <c r="A5" s="4"/>
      <c r="B5" s="4"/>
      <c r="C5" s="4"/>
      <c r="D5" s="4"/>
      <c r="E5" s="4"/>
      <c r="F5" s="4"/>
      <c r="G5" s="4"/>
      <c r="H5" s="4"/>
      <c r="I5" s="4"/>
      <c r="J5" s="4"/>
    </row>
    <row r="6" spans="1:10" ht="12.75">
      <c r="A6" s="5" t="s">
        <v>133</v>
      </c>
      <c r="B6" s="59"/>
      <c r="C6" s="59"/>
      <c r="D6" s="59"/>
      <c r="E6" s="59"/>
      <c r="F6" s="60"/>
      <c r="G6" s="59"/>
      <c r="H6" s="59"/>
      <c r="I6" s="59"/>
      <c r="J6" s="59"/>
    </row>
    <row r="7" spans="1:10" ht="13.5" thickBot="1">
      <c r="A7" s="2"/>
      <c r="B7" s="12"/>
      <c r="C7" s="12"/>
      <c r="D7" s="12"/>
      <c r="E7" s="12"/>
      <c r="F7" s="12"/>
      <c r="G7" s="12"/>
      <c r="H7" s="12"/>
      <c r="I7" s="12"/>
      <c r="J7" s="12"/>
    </row>
    <row r="8" spans="1:10" ht="12.75">
      <c r="A8" s="61"/>
      <c r="B8" s="62" t="s">
        <v>24</v>
      </c>
      <c r="C8" s="63"/>
      <c r="D8" s="63"/>
      <c r="E8" s="62" t="s">
        <v>25</v>
      </c>
      <c r="F8" s="63"/>
      <c r="G8" s="63"/>
      <c r="H8" s="62" t="s">
        <v>4</v>
      </c>
      <c r="I8" s="63"/>
      <c r="J8" s="63"/>
    </row>
    <row r="9" spans="1:10" ht="12.75">
      <c r="A9" s="197" t="s">
        <v>26</v>
      </c>
      <c r="B9" s="65" t="s">
        <v>5</v>
      </c>
      <c r="C9" s="66" t="s">
        <v>6</v>
      </c>
      <c r="D9" s="66" t="s">
        <v>4</v>
      </c>
      <c r="E9" s="65" t="s">
        <v>5</v>
      </c>
      <c r="F9" s="66" t="s">
        <v>6</v>
      </c>
      <c r="G9" s="66" t="s">
        <v>4</v>
      </c>
      <c r="H9" s="65" t="s">
        <v>5</v>
      </c>
      <c r="I9" s="66" t="s">
        <v>6</v>
      </c>
      <c r="J9" s="66" t="s">
        <v>4</v>
      </c>
    </row>
    <row r="10" spans="1:10" ht="12.75">
      <c r="A10" s="67"/>
      <c r="B10" s="13"/>
      <c r="C10" s="68"/>
      <c r="D10" s="68"/>
      <c r="E10" s="13"/>
      <c r="F10" s="68"/>
      <c r="G10" s="68"/>
      <c r="H10" s="13"/>
      <c r="I10" s="68"/>
      <c r="J10" s="68"/>
    </row>
    <row r="11" spans="1:10" ht="12.75">
      <c r="A11" s="2" t="s">
        <v>27</v>
      </c>
      <c r="B11" s="11">
        <f>0</f>
        <v>0</v>
      </c>
      <c r="C11" s="12">
        <f>0</f>
        <v>0</v>
      </c>
      <c r="D11" s="12">
        <f>SUM(B11:C11)</f>
        <v>0</v>
      </c>
      <c r="E11" s="11">
        <f>248+50</f>
        <v>298</v>
      </c>
      <c r="F11" s="12">
        <f>498+169</f>
        <v>667</v>
      </c>
      <c r="G11" s="12">
        <f aca="true" t="shared" si="0" ref="G11:G19">SUM(E11:F11)</f>
        <v>965</v>
      </c>
      <c r="H11" s="11">
        <f>SUM(B11,E11)</f>
        <v>298</v>
      </c>
      <c r="I11" s="12">
        <f aca="true" t="shared" si="1" ref="I11:I19">SUM(C11,F11)</f>
        <v>667</v>
      </c>
      <c r="J11" s="12">
        <f aca="true" t="shared" si="2" ref="J11:J19">SUM(H11:I11)</f>
        <v>965</v>
      </c>
    </row>
    <row r="12" spans="1:10" ht="12.75">
      <c r="A12" s="2" t="s">
        <v>28</v>
      </c>
      <c r="B12" s="11">
        <f>63+18</f>
        <v>81</v>
      </c>
      <c r="C12" s="12">
        <f>238+79</f>
        <v>317</v>
      </c>
      <c r="D12" s="12">
        <f aca="true" t="shared" si="3" ref="D12:D19">SUM(B12:C12)</f>
        <v>398</v>
      </c>
      <c r="E12" s="11">
        <f>390+106</f>
        <v>496</v>
      </c>
      <c r="F12" s="12">
        <f>1355+516</f>
        <v>1871</v>
      </c>
      <c r="G12" s="12">
        <f t="shared" si="0"/>
        <v>2367</v>
      </c>
      <c r="H12" s="11">
        <f aca="true" t="shared" si="4" ref="H12:H19">SUM(B12,E12)</f>
        <v>577</v>
      </c>
      <c r="I12" s="12">
        <f t="shared" si="1"/>
        <v>2188</v>
      </c>
      <c r="J12" s="12">
        <f t="shared" si="2"/>
        <v>2765</v>
      </c>
    </row>
    <row r="13" spans="1:10" ht="12.75">
      <c r="A13" s="2" t="s">
        <v>29</v>
      </c>
      <c r="B13" s="11">
        <f>275+71</f>
        <v>346</v>
      </c>
      <c r="C13" s="12">
        <f>1040+335</f>
        <v>1375</v>
      </c>
      <c r="D13" s="12">
        <f t="shared" si="3"/>
        <v>1721</v>
      </c>
      <c r="E13" s="11">
        <f>269+72</f>
        <v>341</v>
      </c>
      <c r="F13" s="12">
        <f>951+383</f>
        <v>1334</v>
      </c>
      <c r="G13" s="12">
        <f t="shared" si="0"/>
        <v>1675</v>
      </c>
      <c r="H13" s="11">
        <f t="shared" si="4"/>
        <v>687</v>
      </c>
      <c r="I13" s="12">
        <f t="shared" si="1"/>
        <v>2709</v>
      </c>
      <c r="J13" s="12">
        <f t="shared" si="2"/>
        <v>3396</v>
      </c>
    </row>
    <row r="14" spans="1:10" ht="12.75">
      <c r="A14" s="2" t="s">
        <v>30</v>
      </c>
      <c r="B14" s="13">
        <f>481+108</f>
        <v>589</v>
      </c>
      <c r="C14" s="12">
        <f>1644+603</f>
        <v>2247</v>
      </c>
      <c r="D14" s="12">
        <f t="shared" si="3"/>
        <v>2836</v>
      </c>
      <c r="E14" s="11">
        <f>182+43</f>
        <v>225</v>
      </c>
      <c r="F14" s="12">
        <f>868+219</f>
        <v>1087</v>
      </c>
      <c r="G14" s="12">
        <f t="shared" si="0"/>
        <v>1312</v>
      </c>
      <c r="H14" s="11">
        <f t="shared" si="4"/>
        <v>814</v>
      </c>
      <c r="I14" s="12">
        <f t="shared" si="1"/>
        <v>3334</v>
      </c>
      <c r="J14" s="12">
        <f t="shared" si="2"/>
        <v>4148</v>
      </c>
    </row>
    <row r="15" spans="1:10" ht="12.75">
      <c r="A15" s="2" t="s">
        <v>31</v>
      </c>
      <c r="B15" s="13">
        <f>350+102+1</f>
        <v>453</v>
      </c>
      <c r="C15" s="12">
        <f>1636+488</f>
        <v>2124</v>
      </c>
      <c r="D15" s="12">
        <f t="shared" si="3"/>
        <v>2577</v>
      </c>
      <c r="E15" s="11">
        <f>121+25</f>
        <v>146</v>
      </c>
      <c r="F15" s="12">
        <f>623+130</f>
        <v>753</v>
      </c>
      <c r="G15" s="12">
        <f t="shared" si="0"/>
        <v>899</v>
      </c>
      <c r="H15" s="11">
        <f t="shared" si="4"/>
        <v>599</v>
      </c>
      <c r="I15" s="12">
        <f t="shared" si="1"/>
        <v>2877</v>
      </c>
      <c r="J15" s="12">
        <f t="shared" si="2"/>
        <v>3476</v>
      </c>
    </row>
    <row r="16" spans="1:10" ht="12.75">
      <c r="A16" s="2" t="s">
        <v>32</v>
      </c>
      <c r="B16" s="13">
        <f>294+98</f>
        <v>392</v>
      </c>
      <c r="C16" s="12">
        <f>1899+437</f>
        <v>2336</v>
      </c>
      <c r="D16" s="12">
        <f t="shared" si="3"/>
        <v>2728</v>
      </c>
      <c r="E16" s="11">
        <f>73+25</f>
        <v>98</v>
      </c>
      <c r="F16" s="12">
        <f>544+93</f>
        <v>637</v>
      </c>
      <c r="G16" s="12">
        <f t="shared" si="0"/>
        <v>735</v>
      </c>
      <c r="H16" s="11">
        <f t="shared" si="4"/>
        <v>490</v>
      </c>
      <c r="I16" s="12">
        <f t="shared" si="1"/>
        <v>2973</v>
      </c>
      <c r="J16" s="12">
        <f t="shared" si="2"/>
        <v>3463</v>
      </c>
    </row>
    <row r="17" spans="1:10" ht="12.75">
      <c r="A17" s="2" t="s">
        <v>33</v>
      </c>
      <c r="B17" s="13">
        <f>344+140</f>
        <v>484</v>
      </c>
      <c r="C17" s="12">
        <f>2496+590+1</f>
        <v>3087</v>
      </c>
      <c r="D17" s="12">
        <f t="shared" si="3"/>
        <v>3571</v>
      </c>
      <c r="E17" s="11">
        <f>61+12</f>
        <v>73</v>
      </c>
      <c r="F17" s="12">
        <f>412+79</f>
        <v>491</v>
      </c>
      <c r="G17" s="12">
        <f t="shared" si="0"/>
        <v>564</v>
      </c>
      <c r="H17" s="11">
        <f t="shared" si="4"/>
        <v>557</v>
      </c>
      <c r="I17" s="12">
        <f t="shared" si="1"/>
        <v>3578</v>
      </c>
      <c r="J17" s="12">
        <f t="shared" si="2"/>
        <v>4135</v>
      </c>
    </row>
    <row r="18" spans="1:10" ht="12.75">
      <c r="A18" s="2" t="s">
        <v>34</v>
      </c>
      <c r="B18" s="13">
        <f>535+252+1</f>
        <v>788</v>
      </c>
      <c r="C18" s="12">
        <f>2524+563+5</f>
        <v>3092</v>
      </c>
      <c r="D18" s="12">
        <f t="shared" si="3"/>
        <v>3880</v>
      </c>
      <c r="E18" s="11">
        <f>44+11</f>
        <v>55</v>
      </c>
      <c r="F18" s="12">
        <f>183+39</f>
        <v>222</v>
      </c>
      <c r="G18" s="12">
        <f t="shared" si="0"/>
        <v>277</v>
      </c>
      <c r="H18" s="11">
        <f t="shared" si="4"/>
        <v>843</v>
      </c>
      <c r="I18" s="12">
        <f t="shared" si="1"/>
        <v>3314</v>
      </c>
      <c r="J18" s="12">
        <f t="shared" si="2"/>
        <v>4157</v>
      </c>
    </row>
    <row r="19" spans="1:10" ht="12.75">
      <c r="A19" s="2" t="s">
        <v>35</v>
      </c>
      <c r="B19" s="13">
        <f>263+8+122+11+5</f>
        <v>409</v>
      </c>
      <c r="C19" s="12">
        <f>807+28+221+16+17</f>
        <v>1089</v>
      </c>
      <c r="D19" s="69">
        <f t="shared" si="3"/>
        <v>1498</v>
      </c>
      <c r="E19" s="11">
        <f>13+12+4+1</f>
        <v>30</v>
      </c>
      <c r="F19" s="12">
        <f>38+10+15+2</f>
        <v>65</v>
      </c>
      <c r="G19" s="69">
        <f t="shared" si="0"/>
        <v>95</v>
      </c>
      <c r="H19" s="11">
        <f t="shared" si="4"/>
        <v>439</v>
      </c>
      <c r="I19" s="12">
        <f t="shared" si="1"/>
        <v>1154</v>
      </c>
      <c r="J19" s="69">
        <f t="shared" si="2"/>
        <v>1593</v>
      </c>
    </row>
    <row r="20" spans="1:10" ht="12.75">
      <c r="A20" s="19" t="s">
        <v>4</v>
      </c>
      <c r="B20" s="70">
        <f aca="true" t="shared" si="5" ref="B20:J20">SUM(B11:B19)</f>
        <v>3542</v>
      </c>
      <c r="C20" s="71">
        <f t="shared" si="5"/>
        <v>15667</v>
      </c>
      <c r="D20" s="71">
        <f t="shared" si="5"/>
        <v>19209</v>
      </c>
      <c r="E20" s="70">
        <f t="shared" si="5"/>
        <v>1762</v>
      </c>
      <c r="F20" s="71">
        <f t="shared" si="5"/>
        <v>7127</v>
      </c>
      <c r="G20" s="71">
        <f t="shared" si="5"/>
        <v>8889</v>
      </c>
      <c r="H20" s="70">
        <f t="shared" si="5"/>
        <v>5304</v>
      </c>
      <c r="I20" s="71">
        <f t="shared" si="5"/>
        <v>22794</v>
      </c>
      <c r="J20" s="71">
        <f t="shared" si="5"/>
        <v>28098</v>
      </c>
    </row>
    <row r="22" ht="12.75">
      <c r="A22" s="4" t="s">
        <v>40</v>
      </c>
    </row>
    <row r="24" spans="1:10" ht="12.75">
      <c r="A24" s="1" t="s">
        <v>122</v>
      </c>
      <c r="B24" s="2"/>
      <c r="C24" s="2"/>
      <c r="D24" s="2"/>
      <c r="E24" s="2"/>
      <c r="F24" s="2"/>
      <c r="G24" s="2"/>
      <c r="H24" s="2"/>
      <c r="I24" s="2"/>
      <c r="J24" s="2"/>
    </row>
    <row r="25" spans="1:10" ht="12.75">
      <c r="A25" s="5" t="s">
        <v>144</v>
      </c>
      <c r="B25" s="6"/>
      <c r="C25" s="6"/>
      <c r="D25" s="6"/>
      <c r="E25" s="7"/>
      <c r="F25" s="7"/>
      <c r="G25" s="6"/>
      <c r="H25" s="6"/>
      <c r="I25" s="6"/>
      <c r="J25" s="6"/>
    </row>
    <row r="26" spans="1:10" ht="12.75">
      <c r="A26" s="6"/>
      <c r="B26" s="6"/>
      <c r="C26" s="6"/>
      <c r="D26" s="6"/>
      <c r="E26" s="7"/>
      <c r="F26" s="5"/>
      <c r="G26" s="6"/>
      <c r="H26" s="6"/>
      <c r="I26" s="6"/>
      <c r="J26" s="6"/>
    </row>
    <row r="27" spans="1:10" ht="12.75">
      <c r="A27" s="5" t="s">
        <v>167</v>
      </c>
      <c r="B27" s="6"/>
      <c r="C27" s="6"/>
      <c r="D27" s="6"/>
      <c r="E27" s="7"/>
      <c r="F27" s="7"/>
      <c r="G27" s="6"/>
      <c r="H27" s="6"/>
      <c r="I27" s="6"/>
      <c r="J27" s="6"/>
    </row>
    <row r="28" spans="1:10" ht="12.75">
      <c r="A28" s="4"/>
      <c r="B28" s="4"/>
      <c r="C28" s="4"/>
      <c r="D28" s="4"/>
      <c r="E28" s="4"/>
      <c r="F28" s="4"/>
      <c r="G28" s="4"/>
      <c r="H28" s="4"/>
      <c r="I28" s="4"/>
      <c r="J28" s="4"/>
    </row>
    <row r="29" spans="1:10" ht="12.75">
      <c r="A29" s="5" t="s">
        <v>130</v>
      </c>
      <c r="B29" s="59"/>
      <c r="C29" s="59"/>
      <c r="D29" s="59"/>
      <c r="E29" s="59"/>
      <c r="F29" s="60"/>
      <c r="G29" s="59"/>
      <c r="H29" s="59"/>
      <c r="I29" s="59"/>
      <c r="J29" s="59"/>
    </row>
    <row r="30" spans="1:10" ht="13.5" thickBot="1">
      <c r="A30" s="2"/>
      <c r="B30" s="12"/>
      <c r="C30" s="12"/>
      <c r="D30" s="12"/>
      <c r="E30" s="12"/>
      <c r="F30" s="12"/>
      <c r="G30" s="12"/>
      <c r="H30" s="12"/>
      <c r="I30" s="12"/>
      <c r="J30" s="12"/>
    </row>
    <row r="31" spans="1:10" ht="12.75">
      <c r="A31" s="61"/>
      <c r="B31" s="62" t="s">
        <v>24</v>
      </c>
      <c r="C31" s="63"/>
      <c r="D31" s="63"/>
      <c r="E31" s="62" t="s">
        <v>25</v>
      </c>
      <c r="F31" s="63"/>
      <c r="G31" s="63"/>
      <c r="H31" s="62" t="s">
        <v>4</v>
      </c>
      <c r="I31" s="63"/>
      <c r="J31" s="63"/>
    </row>
    <row r="32" spans="1:10" ht="12.75">
      <c r="A32" s="197" t="s">
        <v>26</v>
      </c>
      <c r="B32" s="157" t="s">
        <v>5</v>
      </c>
      <c r="C32" s="158" t="s">
        <v>6</v>
      </c>
      <c r="D32" s="158" t="s">
        <v>4</v>
      </c>
      <c r="E32" s="157" t="s">
        <v>5</v>
      </c>
      <c r="F32" s="158" t="s">
        <v>6</v>
      </c>
      <c r="G32" s="158" t="s">
        <v>4</v>
      </c>
      <c r="H32" s="157" t="s">
        <v>5</v>
      </c>
      <c r="I32" s="158" t="s">
        <v>6</v>
      </c>
      <c r="J32" s="158" t="s">
        <v>4</v>
      </c>
    </row>
    <row r="33" spans="1:10" ht="12.75">
      <c r="A33" s="67"/>
      <c r="B33" s="13"/>
      <c r="C33" s="68"/>
      <c r="D33" s="68"/>
      <c r="E33" s="13"/>
      <c r="F33" s="68"/>
      <c r="G33" s="68"/>
      <c r="H33" s="13"/>
      <c r="I33" s="68"/>
      <c r="J33" s="68"/>
    </row>
    <row r="34" spans="1:10" ht="12.75">
      <c r="A34" s="22" t="s">
        <v>157</v>
      </c>
      <c r="B34" s="11">
        <f>114+44-4</f>
        <v>154</v>
      </c>
      <c r="C34" s="12">
        <f>360+90-2</f>
        <v>448</v>
      </c>
      <c r="D34" s="12">
        <f>SUM(B34:C34)</f>
        <v>602</v>
      </c>
      <c r="E34" s="11">
        <f>2+2</f>
        <v>4</v>
      </c>
      <c r="F34" s="12">
        <f>17+4</f>
        <v>21</v>
      </c>
      <c r="G34" s="12">
        <f aca="true" t="shared" si="6" ref="G34:G41">SUM(E34:F34)</f>
        <v>25</v>
      </c>
      <c r="H34" s="11">
        <f>SUM(B34,E34)</f>
        <v>158</v>
      </c>
      <c r="I34" s="25">
        <f aca="true" t="shared" si="7" ref="I34:I43">SUM(C34,F34)</f>
        <v>469</v>
      </c>
      <c r="J34" s="12">
        <f aca="true" t="shared" si="8" ref="J34:J43">SUM(H34:I34)</f>
        <v>627</v>
      </c>
    </row>
    <row r="35" spans="1:10" ht="12.75">
      <c r="A35" s="22" t="s">
        <v>158</v>
      </c>
      <c r="B35" s="11">
        <f>58+35-1</f>
        <v>92</v>
      </c>
      <c r="C35" s="12">
        <f>141+45-1</f>
        <v>185</v>
      </c>
      <c r="D35" s="12">
        <f aca="true" t="shared" si="9" ref="D35:D43">SUM(B35:C35)</f>
        <v>277</v>
      </c>
      <c r="E35" s="11">
        <f>5+1</f>
        <v>6</v>
      </c>
      <c r="F35" s="12">
        <f>8+6</f>
        <v>14</v>
      </c>
      <c r="G35" s="12">
        <f t="shared" si="6"/>
        <v>20</v>
      </c>
      <c r="H35" s="11">
        <f aca="true" t="shared" si="10" ref="H35:H43">SUM(B35,E35)</f>
        <v>98</v>
      </c>
      <c r="I35" s="25">
        <f t="shared" si="7"/>
        <v>199</v>
      </c>
      <c r="J35" s="12">
        <f t="shared" si="8"/>
        <v>297</v>
      </c>
    </row>
    <row r="36" spans="1:10" ht="12.75">
      <c r="A36" s="22" t="s">
        <v>159</v>
      </c>
      <c r="B36" s="11">
        <f>29+20-1</f>
        <v>48</v>
      </c>
      <c r="C36" s="12">
        <f>92+36-1</f>
        <v>127</v>
      </c>
      <c r="D36" s="12">
        <f t="shared" si="9"/>
        <v>175</v>
      </c>
      <c r="E36" s="11">
        <f>3+1</f>
        <v>4</v>
      </c>
      <c r="F36" s="12">
        <f>5+1</f>
        <v>6</v>
      </c>
      <c r="G36" s="12">
        <f t="shared" si="6"/>
        <v>10</v>
      </c>
      <c r="H36" s="11">
        <f t="shared" si="10"/>
        <v>52</v>
      </c>
      <c r="I36" s="25">
        <f t="shared" si="7"/>
        <v>133</v>
      </c>
      <c r="J36" s="12">
        <f t="shared" si="8"/>
        <v>185</v>
      </c>
    </row>
    <row r="37" spans="1:10" ht="12.75">
      <c r="A37" s="22" t="s">
        <v>160</v>
      </c>
      <c r="B37" s="13">
        <f>16+10</f>
        <v>26</v>
      </c>
      <c r="C37" s="12">
        <f>69+18</f>
        <v>87</v>
      </c>
      <c r="D37" s="12">
        <f t="shared" si="9"/>
        <v>113</v>
      </c>
      <c r="E37" s="11">
        <v>1</v>
      </c>
      <c r="F37" s="12">
        <f>5+3</f>
        <v>8</v>
      </c>
      <c r="G37" s="12">
        <f t="shared" si="6"/>
        <v>9</v>
      </c>
      <c r="H37" s="11">
        <f t="shared" si="10"/>
        <v>27</v>
      </c>
      <c r="I37" s="25">
        <f t="shared" si="7"/>
        <v>95</v>
      </c>
      <c r="J37" s="12">
        <f t="shared" si="8"/>
        <v>122</v>
      </c>
    </row>
    <row r="38" spans="1:10" ht="12.75">
      <c r="A38" s="22" t="s">
        <v>161</v>
      </c>
      <c r="B38" s="13">
        <f>23+11-1</f>
        <v>33</v>
      </c>
      <c r="C38" s="12">
        <f>31+16</f>
        <v>47</v>
      </c>
      <c r="D38" s="12">
        <f t="shared" si="9"/>
        <v>80</v>
      </c>
      <c r="E38" s="11">
        <v>2</v>
      </c>
      <c r="F38" s="12">
        <f>3+1</f>
        <v>4</v>
      </c>
      <c r="G38" s="12">
        <f t="shared" si="6"/>
        <v>6</v>
      </c>
      <c r="H38" s="11">
        <f t="shared" si="10"/>
        <v>35</v>
      </c>
      <c r="I38" s="25">
        <f t="shared" si="7"/>
        <v>51</v>
      </c>
      <c r="J38" s="12">
        <f t="shared" si="8"/>
        <v>86</v>
      </c>
    </row>
    <row r="39" spans="1:10" ht="12.75">
      <c r="A39" s="22" t="s">
        <v>162</v>
      </c>
      <c r="B39" s="13">
        <f>8+7</f>
        <v>15</v>
      </c>
      <c r="C39" s="12">
        <f>25+16-1</f>
        <v>40</v>
      </c>
      <c r="D39" s="12">
        <f t="shared" si="9"/>
        <v>55</v>
      </c>
      <c r="E39" s="11">
        <v>3</v>
      </c>
      <c r="F39" s="12">
        <v>1</v>
      </c>
      <c r="G39" s="12">
        <f t="shared" si="6"/>
        <v>4</v>
      </c>
      <c r="H39" s="11">
        <f t="shared" si="10"/>
        <v>18</v>
      </c>
      <c r="I39" s="25">
        <f t="shared" si="7"/>
        <v>41</v>
      </c>
      <c r="J39" s="12">
        <f t="shared" si="8"/>
        <v>59</v>
      </c>
    </row>
    <row r="40" spans="1:10" ht="12.75">
      <c r="A40" s="22" t="s">
        <v>163</v>
      </c>
      <c r="B40" s="13">
        <f>0+3</f>
        <v>3</v>
      </c>
      <c r="C40" s="12">
        <f>3+1</f>
        <v>4</v>
      </c>
      <c r="D40" s="12">
        <f t="shared" si="9"/>
        <v>7</v>
      </c>
      <c r="E40" s="11">
        <f>3+1</f>
        <v>4</v>
      </c>
      <c r="F40" s="12">
        <v>2</v>
      </c>
      <c r="G40" s="12">
        <f t="shared" si="6"/>
        <v>6</v>
      </c>
      <c r="H40" s="11">
        <f t="shared" si="10"/>
        <v>7</v>
      </c>
      <c r="I40" s="25">
        <f t="shared" si="7"/>
        <v>6</v>
      </c>
      <c r="J40" s="12">
        <f t="shared" si="8"/>
        <v>13</v>
      </c>
    </row>
    <row r="41" spans="1:10" ht="12.75">
      <c r="A41" s="22" t="s">
        <v>164</v>
      </c>
      <c r="B41" s="13">
        <v>0</v>
      </c>
      <c r="C41" s="12">
        <v>0</v>
      </c>
      <c r="D41" s="12">
        <f t="shared" si="9"/>
        <v>0</v>
      </c>
      <c r="E41" s="11">
        <v>3</v>
      </c>
      <c r="F41" s="12">
        <v>4</v>
      </c>
      <c r="G41" s="12">
        <f t="shared" si="6"/>
        <v>7</v>
      </c>
      <c r="H41" s="11">
        <f t="shared" si="10"/>
        <v>3</v>
      </c>
      <c r="I41" s="25">
        <f t="shared" si="7"/>
        <v>4</v>
      </c>
      <c r="J41" s="12">
        <f t="shared" si="8"/>
        <v>7</v>
      </c>
    </row>
    <row r="42" spans="1:10" ht="12.75">
      <c r="A42" s="2" t="s">
        <v>165</v>
      </c>
      <c r="B42" s="13">
        <v>0</v>
      </c>
      <c r="C42" s="12">
        <v>0</v>
      </c>
      <c r="D42" s="25">
        <f t="shared" si="9"/>
        <v>0</v>
      </c>
      <c r="E42" s="11">
        <v>3</v>
      </c>
      <c r="F42" s="12">
        <f>3+2</f>
        <v>5</v>
      </c>
      <c r="G42" s="25">
        <f>SUM(E42:F42)</f>
        <v>8</v>
      </c>
      <c r="H42" s="11">
        <f t="shared" si="10"/>
        <v>3</v>
      </c>
      <c r="I42" s="25">
        <f t="shared" si="7"/>
        <v>5</v>
      </c>
      <c r="J42" s="25">
        <f t="shared" si="8"/>
        <v>8</v>
      </c>
    </row>
    <row r="43" spans="1:10" ht="12.75">
      <c r="A43" s="2" t="s">
        <v>166</v>
      </c>
      <c r="B43" s="13">
        <f>23+11+4</f>
        <v>38</v>
      </c>
      <c r="C43" s="12">
        <f>114+26+11</f>
        <v>151</v>
      </c>
      <c r="D43" s="25">
        <f t="shared" si="9"/>
        <v>189</v>
      </c>
      <c r="E43" s="11">
        <f>0</f>
        <v>0</v>
      </c>
      <c r="F43" s="12">
        <f>0</f>
        <v>0</v>
      </c>
      <c r="G43" s="25">
        <f>SUM(E43:F43)</f>
        <v>0</v>
      </c>
      <c r="H43" s="11">
        <f t="shared" si="10"/>
        <v>38</v>
      </c>
      <c r="I43" s="25">
        <f t="shared" si="7"/>
        <v>151</v>
      </c>
      <c r="J43" s="25">
        <f t="shared" si="8"/>
        <v>189</v>
      </c>
    </row>
    <row r="44" spans="1:10" ht="12.75">
      <c r="A44" s="19" t="s">
        <v>4</v>
      </c>
      <c r="B44" s="70">
        <f aca="true" t="shared" si="11" ref="B44:J44">SUM(B34:B43)</f>
        <v>409</v>
      </c>
      <c r="C44" s="71">
        <f t="shared" si="11"/>
        <v>1089</v>
      </c>
      <c r="D44" s="71">
        <f t="shared" si="11"/>
        <v>1498</v>
      </c>
      <c r="E44" s="70">
        <f t="shared" si="11"/>
        <v>30</v>
      </c>
      <c r="F44" s="71">
        <f t="shared" si="11"/>
        <v>65</v>
      </c>
      <c r="G44" s="71">
        <f t="shared" si="11"/>
        <v>95</v>
      </c>
      <c r="H44" s="70">
        <f t="shared" si="11"/>
        <v>439</v>
      </c>
      <c r="I44" s="71">
        <f t="shared" si="11"/>
        <v>1154</v>
      </c>
      <c r="J44" s="71">
        <f t="shared" si="11"/>
        <v>1593</v>
      </c>
    </row>
  </sheetData>
  <sheetProtection/>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85"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dimension ref="A1:V114"/>
  <sheetViews>
    <sheetView zoomScalePageLayoutView="0" workbookViewId="0" topLeftCell="A1">
      <selection activeCell="A95" sqref="A95"/>
    </sheetView>
  </sheetViews>
  <sheetFormatPr defaultColWidth="9.28125" defaultRowHeight="12.75"/>
  <cols>
    <col min="1" max="1" width="32.7109375" style="4" customWidth="1"/>
    <col min="2" max="2" width="7.421875" style="4" customWidth="1"/>
    <col min="3" max="3" width="10.7109375" style="4" customWidth="1"/>
    <col min="4" max="4" width="9.28125" style="4" customWidth="1"/>
    <col min="5" max="5" width="7.421875" style="4" customWidth="1"/>
    <col min="6" max="6" width="9.00390625" style="4" customWidth="1"/>
    <col min="7" max="7" width="10.28125" style="4" customWidth="1"/>
    <col min="8" max="9" width="7.421875" style="4" customWidth="1"/>
    <col min="10" max="10" width="9.421875" style="4" customWidth="1"/>
    <col min="11" max="12" width="7.421875" style="4" customWidth="1"/>
    <col min="13" max="13" width="10.7109375" style="4" customWidth="1"/>
    <col min="14" max="14" width="9.421875" style="4" customWidth="1"/>
    <col min="15" max="15" width="9.28125" style="4" customWidth="1"/>
    <col min="16" max="16" width="10.28125" style="4" customWidth="1"/>
    <col min="17" max="17" width="7.421875" style="4" customWidth="1"/>
    <col min="18" max="18" width="9.421875" style="4" customWidth="1"/>
    <col min="19" max="19" width="7.421875" style="4" customWidth="1"/>
    <col min="20" max="16384" width="9.28125" style="4" customWidth="1"/>
  </cols>
  <sheetData>
    <row r="1" spans="1:19" ht="12.75">
      <c r="A1" s="129" t="s">
        <v>122</v>
      </c>
      <c r="B1" s="2"/>
      <c r="C1" s="2"/>
      <c r="D1" s="2"/>
      <c r="E1" s="3"/>
      <c r="F1" s="2"/>
      <c r="G1" s="2"/>
      <c r="H1" s="2"/>
      <c r="I1" s="2"/>
      <c r="J1" s="2"/>
      <c r="K1" s="2"/>
      <c r="L1" s="2"/>
      <c r="M1" s="2"/>
      <c r="N1" s="2"/>
      <c r="O1" s="2"/>
      <c r="P1" s="2"/>
      <c r="Q1" s="2"/>
      <c r="R1" s="2"/>
      <c r="S1" s="2"/>
    </row>
    <row r="2" spans="1:19" ht="12.75">
      <c r="A2" s="5" t="s">
        <v>77</v>
      </c>
      <c r="B2" s="6"/>
      <c r="C2" s="6"/>
      <c r="D2" s="5"/>
      <c r="E2" s="128"/>
      <c r="F2" s="6"/>
      <c r="G2" s="7"/>
      <c r="H2" s="6"/>
      <c r="I2" s="7"/>
      <c r="J2" s="6"/>
      <c r="K2" s="6"/>
      <c r="L2" s="6"/>
      <c r="M2" s="6"/>
      <c r="N2" s="6"/>
      <c r="O2" s="6"/>
      <c r="P2" s="6"/>
      <c r="Q2" s="6"/>
      <c r="R2" s="6"/>
      <c r="S2" s="6"/>
    </row>
    <row r="3" spans="1:19" ht="12.75">
      <c r="A3" s="5"/>
      <c r="B3" s="6"/>
      <c r="C3" s="6"/>
      <c r="D3" s="6"/>
      <c r="E3" s="128"/>
      <c r="F3" s="5"/>
      <c r="G3" s="7"/>
      <c r="H3" s="6"/>
      <c r="I3" s="7"/>
      <c r="J3" s="6"/>
      <c r="K3" s="6"/>
      <c r="L3" s="6"/>
      <c r="M3" s="6"/>
      <c r="N3" s="6"/>
      <c r="O3" s="6"/>
      <c r="P3" s="6"/>
      <c r="Q3" s="6"/>
      <c r="R3" s="6"/>
      <c r="S3" s="6"/>
    </row>
    <row r="4" spans="1:19" ht="12.75">
      <c r="A4" s="5" t="s">
        <v>127</v>
      </c>
      <c r="B4" s="6"/>
      <c r="C4" s="6"/>
      <c r="D4" s="6"/>
      <c r="E4" s="128"/>
      <c r="F4" s="5"/>
      <c r="G4" s="7"/>
      <c r="H4" s="6"/>
      <c r="I4" s="7"/>
      <c r="J4" s="6"/>
      <c r="K4" s="6"/>
      <c r="L4" s="6"/>
      <c r="M4" s="6"/>
      <c r="N4" s="6"/>
      <c r="O4" s="6"/>
      <c r="P4" s="6"/>
      <c r="Q4" s="6"/>
      <c r="R4" s="6"/>
      <c r="S4" s="6"/>
    </row>
    <row r="5" spans="1:19" ht="13.5" thickBot="1">
      <c r="A5" s="2"/>
      <c r="B5" s="2"/>
      <c r="C5" s="2"/>
      <c r="D5" s="2"/>
      <c r="E5" s="3"/>
      <c r="F5" s="2"/>
      <c r="G5" s="2"/>
      <c r="H5" s="2"/>
      <c r="I5" s="2"/>
      <c r="J5" s="2"/>
      <c r="K5" s="2"/>
      <c r="L5" s="2"/>
      <c r="M5" s="2"/>
      <c r="N5" s="2"/>
      <c r="O5" s="2"/>
      <c r="P5" s="2"/>
      <c r="Q5" s="2"/>
      <c r="R5" s="2"/>
      <c r="S5" s="2"/>
    </row>
    <row r="6" spans="1:19" ht="12.75">
      <c r="A6" s="8"/>
      <c r="B6" s="234" t="s">
        <v>72</v>
      </c>
      <c r="C6" s="153"/>
      <c r="D6" s="153"/>
      <c r="E6" s="153"/>
      <c r="F6" s="153"/>
      <c r="G6" s="153"/>
      <c r="H6" s="234" t="s">
        <v>71</v>
      </c>
      <c r="I6" s="153"/>
      <c r="J6" s="153"/>
      <c r="K6" s="153"/>
      <c r="L6" s="153"/>
      <c r="M6" s="153"/>
      <c r="N6" s="152" t="s">
        <v>4</v>
      </c>
      <c r="O6" s="153"/>
      <c r="P6" s="153"/>
      <c r="Q6" s="153"/>
      <c r="R6" s="153"/>
      <c r="S6" s="153"/>
    </row>
    <row r="7" spans="1:19" ht="12.75">
      <c r="A7" s="3"/>
      <c r="B7" s="154" t="s">
        <v>24</v>
      </c>
      <c r="C7" s="155"/>
      <c r="D7" s="155"/>
      <c r="E7" s="154" t="s">
        <v>25</v>
      </c>
      <c r="F7" s="155"/>
      <c r="G7" s="155"/>
      <c r="H7" s="154" t="s">
        <v>24</v>
      </c>
      <c r="I7" s="155"/>
      <c r="J7" s="155"/>
      <c r="K7" s="154" t="s">
        <v>25</v>
      </c>
      <c r="L7" s="155"/>
      <c r="M7" s="155"/>
      <c r="N7" s="154" t="s">
        <v>24</v>
      </c>
      <c r="O7" s="155"/>
      <c r="P7" s="155"/>
      <c r="Q7" s="154" t="s">
        <v>25</v>
      </c>
      <c r="R7" s="155"/>
      <c r="S7" s="155"/>
    </row>
    <row r="8" spans="1:19" s="156" customFormat="1" ht="12.75">
      <c r="A8" s="64"/>
      <c r="B8" s="181" t="s">
        <v>5</v>
      </c>
      <c r="C8" s="182" t="s">
        <v>6</v>
      </c>
      <c r="D8" s="182" t="s">
        <v>4</v>
      </c>
      <c r="E8" s="181" t="s">
        <v>5</v>
      </c>
      <c r="F8" s="182" t="s">
        <v>6</v>
      </c>
      <c r="G8" s="182" t="s">
        <v>4</v>
      </c>
      <c r="H8" s="181" t="s">
        <v>5</v>
      </c>
      <c r="I8" s="182" t="s">
        <v>6</v>
      </c>
      <c r="J8" s="182" t="s">
        <v>4</v>
      </c>
      <c r="K8" s="181" t="s">
        <v>5</v>
      </c>
      <c r="L8" s="182" t="s">
        <v>6</v>
      </c>
      <c r="M8" s="182" t="s">
        <v>4</v>
      </c>
      <c r="N8" s="181" t="s">
        <v>5</v>
      </c>
      <c r="O8" s="182" t="s">
        <v>6</v>
      </c>
      <c r="P8" s="182" t="s">
        <v>4</v>
      </c>
      <c r="Q8" s="181" t="s">
        <v>5</v>
      </c>
      <c r="R8" s="182" t="s">
        <v>6</v>
      </c>
      <c r="S8" s="182" t="s">
        <v>4</v>
      </c>
    </row>
    <row r="9" spans="1:19" ht="12.75">
      <c r="A9" s="2"/>
      <c r="B9" s="11"/>
      <c r="C9" s="12"/>
      <c r="D9" s="12"/>
      <c r="E9" s="11"/>
      <c r="F9" s="12"/>
      <c r="G9" s="12"/>
      <c r="H9" s="11"/>
      <c r="I9" s="12"/>
      <c r="J9" s="12"/>
      <c r="K9" s="11"/>
      <c r="L9" s="12"/>
      <c r="M9" s="12"/>
      <c r="N9" s="11"/>
      <c r="O9" s="12"/>
      <c r="P9" s="12"/>
      <c r="Q9" s="11"/>
      <c r="R9" s="12"/>
      <c r="S9" s="12"/>
    </row>
    <row r="10" spans="1:19" ht="12.75">
      <c r="A10" s="1" t="s">
        <v>7</v>
      </c>
      <c r="B10" s="11"/>
      <c r="C10" s="12"/>
      <c r="D10" s="12"/>
      <c r="E10" s="11"/>
      <c r="F10" s="12"/>
      <c r="G10" s="12"/>
      <c r="H10" s="11"/>
      <c r="I10" s="12"/>
      <c r="J10" s="12"/>
      <c r="K10" s="11"/>
      <c r="L10" s="12"/>
      <c r="M10" s="12"/>
      <c r="N10" s="11"/>
      <c r="O10" s="12"/>
      <c r="P10" s="12"/>
      <c r="Q10" s="11"/>
      <c r="R10" s="12"/>
      <c r="S10" s="12"/>
    </row>
    <row r="11" spans="1:22" ht="12.75">
      <c r="A11" s="2" t="s">
        <v>42</v>
      </c>
      <c r="B11" s="11">
        <v>50</v>
      </c>
      <c r="C11" s="12">
        <v>235</v>
      </c>
      <c r="D11" s="12">
        <f>SUM(B11:C11)</f>
        <v>285</v>
      </c>
      <c r="E11" s="11">
        <v>33</v>
      </c>
      <c r="F11" s="12">
        <v>108</v>
      </c>
      <c r="G11" s="12">
        <f>SUM(E11:F11)</f>
        <v>141</v>
      </c>
      <c r="H11" s="11">
        <v>23</v>
      </c>
      <c r="I11" s="12">
        <v>390</v>
      </c>
      <c r="J11" s="12">
        <f>SUM(H11:I11)</f>
        <v>413</v>
      </c>
      <c r="K11" s="11">
        <v>59</v>
      </c>
      <c r="L11" s="12">
        <v>330</v>
      </c>
      <c r="M11" s="12">
        <f>SUM(K11:L11)</f>
        <v>389</v>
      </c>
      <c r="N11" s="11">
        <f>SUM(B11,H11)</f>
        <v>73</v>
      </c>
      <c r="O11" s="12">
        <f>SUM(C11,I11)</f>
        <v>625</v>
      </c>
      <c r="P11" s="12">
        <f>SUM(N11:O11)</f>
        <v>698</v>
      </c>
      <c r="Q11" s="11">
        <f aca="true" t="shared" si="0" ref="Q11:R14">SUM(E11,K11)</f>
        <v>92</v>
      </c>
      <c r="R11" s="12">
        <f t="shared" si="0"/>
        <v>438</v>
      </c>
      <c r="S11" s="12">
        <f>SUM(Q11:R11)</f>
        <v>530</v>
      </c>
      <c r="U11"/>
      <c r="V11"/>
    </row>
    <row r="12" spans="1:22" ht="12.75">
      <c r="A12" s="2" t="s">
        <v>8</v>
      </c>
      <c r="B12" s="11">
        <v>117</v>
      </c>
      <c r="C12" s="12">
        <v>675</v>
      </c>
      <c r="D12" s="12">
        <f>SUM(B12:C12)</f>
        <v>792</v>
      </c>
      <c r="E12" s="11">
        <v>56</v>
      </c>
      <c r="F12" s="12">
        <v>180</v>
      </c>
      <c r="G12" s="12">
        <f>SUM(E12:F12)</f>
        <v>236</v>
      </c>
      <c r="H12" s="11">
        <v>82</v>
      </c>
      <c r="I12" s="12">
        <v>1793</v>
      </c>
      <c r="J12" s="12">
        <f>SUM(H12:I12)</f>
        <v>1875</v>
      </c>
      <c r="K12" s="11">
        <v>131</v>
      </c>
      <c r="L12" s="12">
        <v>834</v>
      </c>
      <c r="M12" s="12">
        <f>SUM(K12:L12)</f>
        <v>965</v>
      </c>
      <c r="N12" s="11">
        <f aca="true" t="shared" si="1" ref="N12:O14">SUM(B12,H12)</f>
        <v>199</v>
      </c>
      <c r="O12" s="12">
        <f t="shared" si="1"/>
        <v>2468</v>
      </c>
      <c r="P12" s="12">
        <f>SUM(N12:O12)</f>
        <v>2667</v>
      </c>
      <c r="Q12" s="11">
        <f t="shared" si="0"/>
        <v>187</v>
      </c>
      <c r="R12" s="12">
        <f t="shared" si="0"/>
        <v>1014</v>
      </c>
      <c r="S12" s="12">
        <f>SUM(Q12:R12)</f>
        <v>1201</v>
      </c>
      <c r="U12"/>
      <c r="V12"/>
    </row>
    <row r="13" spans="1:22" ht="12.75">
      <c r="A13" s="2" t="s">
        <v>9</v>
      </c>
      <c r="B13" s="11">
        <v>0</v>
      </c>
      <c r="C13" s="12">
        <v>1</v>
      </c>
      <c r="D13" s="12">
        <f>SUM(B13:C13)</f>
        <v>1</v>
      </c>
      <c r="E13" s="11">
        <v>0</v>
      </c>
      <c r="F13" s="12">
        <v>0</v>
      </c>
      <c r="G13" s="12">
        <f>SUM(E13:F13)</f>
        <v>0</v>
      </c>
      <c r="H13" s="11">
        <v>0</v>
      </c>
      <c r="I13" s="12">
        <v>3</v>
      </c>
      <c r="J13" s="12">
        <f>SUM(H13:I13)</f>
        <v>3</v>
      </c>
      <c r="K13" s="13">
        <v>0</v>
      </c>
      <c r="L13" s="12">
        <v>0</v>
      </c>
      <c r="M13" s="12">
        <f>SUM(K13:L13)</f>
        <v>0</v>
      </c>
      <c r="N13" s="11">
        <f t="shared" si="1"/>
        <v>0</v>
      </c>
      <c r="O13" s="12">
        <f t="shared" si="1"/>
        <v>4</v>
      </c>
      <c r="P13" s="12">
        <f>SUM(N13:O13)</f>
        <v>4</v>
      </c>
      <c r="Q13" s="11">
        <f t="shared" si="0"/>
        <v>0</v>
      </c>
      <c r="R13" s="12">
        <f t="shared" si="0"/>
        <v>0</v>
      </c>
      <c r="S13" s="12">
        <f>SUM(Q13:R13)</f>
        <v>0</v>
      </c>
      <c r="U13"/>
      <c r="V13"/>
    </row>
    <row r="14" spans="1:22" ht="12.75">
      <c r="A14" s="2" t="s">
        <v>10</v>
      </c>
      <c r="B14" s="11">
        <v>60</v>
      </c>
      <c r="C14" s="12">
        <v>285</v>
      </c>
      <c r="D14" s="12">
        <f>SUM(B14:C14)</f>
        <v>345</v>
      </c>
      <c r="E14" s="11">
        <v>22</v>
      </c>
      <c r="F14" s="12">
        <v>108</v>
      </c>
      <c r="G14" s="12">
        <f>SUM(E14:F14)</f>
        <v>130</v>
      </c>
      <c r="H14" s="11">
        <v>35</v>
      </c>
      <c r="I14" s="12">
        <v>654</v>
      </c>
      <c r="J14" s="12">
        <f>SUM(H14:I14)</f>
        <v>689</v>
      </c>
      <c r="K14" s="11">
        <v>51</v>
      </c>
      <c r="L14" s="12">
        <v>334</v>
      </c>
      <c r="M14" s="12">
        <f>SUM(K14:L14)</f>
        <v>385</v>
      </c>
      <c r="N14" s="11">
        <f t="shared" si="1"/>
        <v>95</v>
      </c>
      <c r="O14" s="12">
        <f t="shared" si="1"/>
        <v>939</v>
      </c>
      <c r="P14" s="12">
        <f>SUM(N14:O14)</f>
        <v>1034</v>
      </c>
      <c r="Q14" s="11">
        <f t="shared" si="0"/>
        <v>73</v>
      </c>
      <c r="R14" s="12">
        <f t="shared" si="0"/>
        <v>442</v>
      </c>
      <c r="S14" s="12">
        <f>SUM(Q14:R14)</f>
        <v>515</v>
      </c>
      <c r="U14"/>
      <c r="V14"/>
    </row>
    <row r="15" spans="1:22" ht="12.75">
      <c r="A15" s="19" t="s">
        <v>4</v>
      </c>
      <c r="B15" s="70">
        <f>SUM(B11:B14)</f>
        <v>227</v>
      </c>
      <c r="C15" s="71">
        <f aca="true" t="shared" si="2" ref="C15:S15">SUM(C11:C14)</f>
        <v>1196</v>
      </c>
      <c r="D15" s="71">
        <f t="shared" si="2"/>
        <v>1423</v>
      </c>
      <c r="E15" s="70">
        <f t="shared" si="2"/>
        <v>111</v>
      </c>
      <c r="F15" s="71">
        <f t="shared" si="2"/>
        <v>396</v>
      </c>
      <c r="G15" s="71">
        <f t="shared" si="2"/>
        <v>507</v>
      </c>
      <c r="H15" s="70">
        <f t="shared" si="2"/>
        <v>140</v>
      </c>
      <c r="I15" s="71">
        <f t="shared" si="2"/>
        <v>2840</v>
      </c>
      <c r="J15" s="71">
        <f t="shared" si="2"/>
        <v>2980</v>
      </c>
      <c r="K15" s="70">
        <f t="shared" si="2"/>
        <v>241</v>
      </c>
      <c r="L15" s="71">
        <f t="shared" si="2"/>
        <v>1498</v>
      </c>
      <c r="M15" s="71">
        <f t="shared" si="2"/>
        <v>1739</v>
      </c>
      <c r="N15" s="70">
        <f t="shared" si="2"/>
        <v>367</v>
      </c>
      <c r="O15" s="71">
        <f t="shared" si="2"/>
        <v>4036</v>
      </c>
      <c r="P15" s="71">
        <f t="shared" si="2"/>
        <v>4403</v>
      </c>
      <c r="Q15" s="70">
        <f t="shared" si="2"/>
        <v>352</v>
      </c>
      <c r="R15" s="71">
        <f t="shared" si="2"/>
        <v>1894</v>
      </c>
      <c r="S15" s="71">
        <f t="shared" si="2"/>
        <v>2246</v>
      </c>
      <c r="U15"/>
      <c r="V15"/>
    </row>
    <row r="16" spans="1:22" ht="12.75">
      <c r="A16" s="3"/>
      <c r="B16" s="11"/>
      <c r="C16" s="12"/>
      <c r="D16" s="12"/>
      <c r="E16" s="11"/>
      <c r="F16" s="12"/>
      <c r="G16" s="12"/>
      <c r="H16" s="11"/>
      <c r="I16" s="12"/>
      <c r="J16" s="12"/>
      <c r="K16" s="11"/>
      <c r="L16" s="12"/>
      <c r="M16" s="12"/>
      <c r="N16" s="11"/>
      <c r="O16" s="12"/>
      <c r="P16" s="12"/>
      <c r="Q16" s="11"/>
      <c r="R16" s="12"/>
      <c r="S16" s="12"/>
      <c r="U16"/>
      <c r="V16"/>
    </row>
    <row r="17" spans="1:22" ht="12.75">
      <c r="A17" s="1" t="s">
        <v>11</v>
      </c>
      <c r="B17" s="11"/>
      <c r="C17" s="12"/>
      <c r="D17" s="12"/>
      <c r="E17" s="11"/>
      <c r="F17" s="12"/>
      <c r="G17" s="12"/>
      <c r="H17" s="11"/>
      <c r="I17" s="12"/>
      <c r="J17" s="12"/>
      <c r="K17" s="11"/>
      <c r="L17" s="12"/>
      <c r="M17" s="12"/>
      <c r="N17" s="11"/>
      <c r="O17" s="12"/>
      <c r="P17" s="12"/>
      <c r="Q17" s="11"/>
      <c r="R17" s="12"/>
      <c r="S17" s="12"/>
      <c r="U17"/>
      <c r="V17"/>
    </row>
    <row r="18" spans="1:22" ht="12.75">
      <c r="A18" s="2" t="s">
        <v>42</v>
      </c>
      <c r="B18" s="11">
        <v>34</v>
      </c>
      <c r="C18" s="12">
        <v>282</v>
      </c>
      <c r="D18" s="12">
        <f>SUM(B18:C18)</f>
        <v>316</v>
      </c>
      <c r="E18" s="11">
        <v>3</v>
      </c>
      <c r="F18" s="12">
        <v>96</v>
      </c>
      <c r="G18" s="12">
        <f>SUM(E18:F18)</f>
        <v>99</v>
      </c>
      <c r="H18" s="11">
        <v>17</v>
      </c>
      <c r="I18" s="12">
        <v>260</v>
      </c>
      <c r="J18" s="12">
        <f>SUM(H18:I18)</f>
        <v>277</v>
      </c>
      <c r="K18" s="11">
        <v>8</v>
      </c>
      <c r="L18" s="12">
        <v>131</v>
      </c>
      <c r="M18" s="12">
        <f>SUM(K18:L18)</f>
        <v>139</v>
      </c>
      <c r="N18" s="11">
        <f aca="true" t="shared" si="3" ref="N18:O21">SUM(B18,H18)</f>
        <v>51</v>
      </c>
      <c r="O18" s="12">
        <f t="shared" si="3"/>
        <v>542</v>
      </c>
      <c r="P18" s="12">
        <f>SUM(N18:O18)</f>
        <v>593</v>
      </c>
      <c r="Q18" s="11">
        <f aca="true" t="shared" si="4" ref="Q18:R21">SUM(E18,K18)</f>
        <v>11</v>
      </c>
      <c r="R18" s="12">
        <f t="shared" si="4"/>
        <v>227</v>
      </c>
      <c r="S18" s="12">
        <f>SUM(Q18:R18)</f>
        <v>238</v>
      </c>
      <c r="U18"/>
      <c r="V18"/>
    </row>
    <row r="19" spans="1:22" ht="12.75">
      <c r="A19" s="2" t="s">
        <v>8</v>
      </c>
      <c r="B19" s="11">
        <v>52</v>
      </c>
      <c r="C19" s="12">
        <v>436</v>
      </c>
      <c r="D19" s="12">
        <f>SUM(B19:C19)</f>
        <v>488</v>
      </c>
      <c r="E19" s="11">
        <v>9</v>
      </c>
      <c r="F19" s="12">
        <v>212</v>
      </c>
      <c r="G19" s="12">
        <f>SUM(E19:F19)</f>
        <v>221</v>
      </c>
      <c r="H19" s="11">
        <v>23</v>
      </c>
      <c r="I19" s="12">
        <v>603</v>
      </c>
      <c r="J19" s="12">
        <f>SUM(H19:I19)</f>
        <v>626</v>
      </c>
      <c r="K19" s="11">
        <v>25</v>
      </c>
      <c r="L19" s="12">
        <v>341</v>
      </c>
      <c r="M19" s="12">
        <f>SUM(K19:L19)</f>
        <v>366</v>
      </c>
      <c r="N19" s="11">
        <f t="shared" si="3"/>
        <v>75</v>
      </c>
      <c r="O19" s="12">
        <f t="shared" si="3"/>
        <v>1039</v>
      </c>
      <c r="P19" s="12">
        <f>SUM(N19:O19)</f>
        <v>1114</v>
      </c>
      <c r="Q19" s="11">
        <f t="shared" si="4"/>
        <v>34</v>
      </c>
      <c r="R19" s="12">
        <f t="shared" si="4"/>
        <v>553</v>
      </c>
      <c r="S19" s="12">
        <f>SUM(Q19:R19)</f>
        <v>587</v>
      </c>
      <c r="U19"/>
      <c r="V19"/>
    </row>
    <row r="20" spans="1:22" ht="12.75">
      <c r="A20" s="2" t="s">
        <v>9</v>
      </c>
      <c r="B20" s="11">
        <v>0</v>
      </c>
      <c r="C20" s="12">
        <v>10</v>
      </c>
      <c r="D20" s="12">
        <f>SUM(B20:C20)</f>
        <v>10</v>
      </c>
      <c r="E20" s="13">
        <v>0</v>
      </c>
      <c r="F20" s="18">
        <v>3</v>
      </c>
      <c r="G20" s="18">
        <f>SUM(E20:F20)</f>
        <v>3</v>
      </c>
      <c r="H20" s="13">
        <v>1</v>
      </c>
      <c r="I20" s="12">
        <v>14</v>
      </c>
      <c r="J20" s="12">
        <f>SUM(H20:I20)</f>
        <v>15</v>
      </c>
      <c r="K20" s="13">
        <v>0</v>
      </c>
      <c r="L20" s="18">
        <v>7</v>
      </c>
      <c r="M20" s="18">
        <f>SUM(K20:L20)</f>
        <v>7</v>
      </c>
      <c r="N20" s="11">
        <f t="shared" si="3"/>
        <v>1</v>
      </c>
      <c r="O20" s="12">
        <f t="shared" si="3"/>
        <v>24</v>
      </c>
      <c r="P20" s="12">
        <f>SUM(N20:O20)</f>
        <v>25</v>
      </c>
      <c r="Q20" s="13">
        <f t="shared" si="4"/>
        <v>0</v>
      </c>
      <c r="R20" s="12">
        <f t="shared" si="4"/>
        <v>10</v>
      </c>
      <c r="S20" s="12">
        <f>SUM(Q20:R20)</f>
        <v>10</v>
      </c>
      <c r="U20"/>
      <c r="V20"/>
    </row>
    <row r="21" spans="1:22" ht="12.75">
      <c r="A21" s="2" t="s">
        <v>10</v>
      </c>
      <c r="B21" s="11">
        <f>6+0</f>
        <v>6</v>
      </c>
      <c r="C21" s="12">
        <f>110+17</f>
        <v>127</v>
      </c>
      <c r="D21" s="12">
        <f>SUM(B21:C21)</f>
        <v>133</v>
      </c>
      <c r="E21" s="11">
        <f>1+0</f>
        <v>1</v>
      </c>
      <c r="F21" s="12">
        <f>45+8</f>
        <v>53</v>
      </c>
      <c r="G21" s="12">
        <f>SUM(E21:F21)</f>
        <v>54</v>
      </c>
      <c r="H21" s="11">
        <f>3+0</f>
        <v>3</v>
      </c>
      <c r="I21" s="12">
        <f>93+14</f>
        <v>107</v>
      </c>
      <c r="J21" s="12">
        <f>SUM(H21:I21)</f>
        <v>110</v>
      </c>
      <c r="K21" s="11">
        <f>1+0</f>
        <v>1</v>
      </c>
      <c r="L21" s="12">
        <f>58+8</f>
        <v>66</v>
      </c>
      <c r="M21" s="12">
        <f>SUM(K21:L21)</f>
        <v>67</v>
      </c>
      <c r="N21" s="11">
        <f t="shared" si="3"/>
        <v>9</v>
      </c>
      <c r="O21" s="12">
        <f t="shared" si="3"/>
        <v>234</v>
      </c>
      <c r="P21" s="12">
        <f>SUM(N21:O21)</f>
        <v>243</v>
      </c>
      <c r="Q21" s="11">
        <f t="shared" si="4"/>
        <v>2</v>
      </c>
      <c r="R21" s="12">
        <f t="shared" si="4"/>
        <v>119</v>
      </c>
      <c r="S21" s="12">
        <f>SUM(Q21:R21)</f>
        <v>121</v>
      </c>
      <c r="U21"/>
      <c r="V21"/>
    </row>
    <row r="22" spans="1:22" ht="12.75">
      <c r="A22" s="19" t="s">
        <v>4</v>
      </c>
      <c r="B22" s="70">
        <f aca="true" t="shared" si="5" ref="B22:S22">SUM(B18:B21)</f>
        <v>92</v>
      </c>
      <c r="C22" s="71">
        <f t="shared" si="5"/>
        <v>855</v>
      </c>
      <c r="D22" s="71">
        <f t="shared" si="5"/>
        <v>947</v>
      </c>
      <c r="E22" s="70">
        <f t="shared" si="5"/>
        <v>13</v>
      </c>
      <c r="F22" s="71">
        <f t="shared" si="5"/>
        <v>364</v>
      </c>
      <c r="G22" s="71">
        <f t="shared" si="5"/>
        <v>377</v>
      </c>
      <c r="H22" s="70">
        <f t="shared" si="5"/>
        <v>44</v>
      </c>
      <c r="I22" s="71">
        <f t="shared" si="5"/>
        <v>984</v>
      </c>
      <c r="J22" s="71">
        <f t="shared" si="5"/>
        <v>1028</v>
      </c>
      <c r="K22" s="70">
        <f t="shared" si="5"/>
        <v>34</v>
      </c>
      <c r="L22" s="71">
        <f t="shared" si="5"/>
        <v>545</v>
      </c>
      <c r="M22" s="71">
        <f t="shared" si="5"/>
        <v>579</v>
      </c>
      <c r="N22" s="70">
        <f t="shared" si="5"/>
        <v>136</v>
      </c>
      <c r="O22" s="71">
        <f t="shared" si="5"/>
        <v>1839</v>
      </c>
      <c r="P22" s="71">
        <f t="shared" si="5"/>
        <v>1975</v>
      </c>
      <c r="Q22" s="70">
        <f t="shared" si="5"/>
        <v>47</v>
      </c>
      <c r="R22" s="71">
        <f t="shared" si="5"/>
        <v>909</v>
      </c>
      <c r="S22" s="71">
        <f t="shared" si="5"/>
        <v>956</v>
      </c>
      <c r="U22"/>
      <c r="V22"/>
    </row>
    <row r="23" spans="1:22" ht="12.75">
      <c r="A23" s="2"/>
      <c r="B23" s="11"/>
      <c r="C23" s="12"/>
      <c r="D23" s="12"/>
      <c r="E23" s="11"/>
      <c r="F23" s="12"/>
      <c r="G23" s="12"/>
      <c r="H23" s="11"/>
      <c r="I23" s="12"/>
      <c r="J23" s="12"/>
      <c r="K23" s="11"/>
      <c r="L23" s="12"/>
      <c r="M23" s="12"/>
      <c r="N23" s="11"/>
      <c r="O23" s="12"/>
      <c r="P23" s="12"/>
      <c r="Q23" s="11"/>
      <c r="R23" s="12"/>
      <c r="S23" s="12"/>
      <c r="U23"/>
      <c r="V23"/>
    </row>
    <row r="24" spans="1:22" ht="12.75">
      <c r="A24" s="1" t="s">
        <v>12</v>
      </c>
      <c r="B24" s="11"/>
      <c r="C24" s="12"/>
      <c r="D24" s="12"/>
      <c r="E24" s="11"/>
      <c r="F24" s="12"/>
      <c r="G24" s="12"/>
      <c r="H24" s="11"/>
      <c r="I24" s="12"/>
      <c r="J24" s="12"/>
      <c r="K24" s="11"/>
      <c r="L24" s="12"/>
      <c r="M24" s="12"/>
      <c r="N24" s="11"/>
      <c r="O24" s="12"/>
      <c r="P24" s="12"/>
      <c r="Q24" s="11"/>
      <c r="R24" s="12"/>
      <c r="S24" s="12"/>
      <c r="U24"/>
      <c r="V24"/>
    </row>
    <row r="25" spans="1:22" ht="12.75">
      <c r="A25" s="2" t="s">
        <v>42</v>
      </c>
      <c r="B25" s="11">
        <v>208</v>
      </c>
      <c r="C25" s="12">
        <v>585</v>
      </c>
      <c r="D25" s="12">
        <f>SUM(B25:C25)</f>
        <v>793</v>
      </c>
      <c r="E25" s="11">
        <v>123</v>
      </c>
      <c r="F25" s="12">
        <v>220</v>
      </c>
      <c r="G25" s="12">
        <f>SUM(E25:F25)</f>
        <v>343</v>
      </c>
      <c r="H25" s="11">
        <v>31</v>
      </c>
      <c r="I25" s="12">
        <v>319</v>
      </c>
      <c r="J25" s="12">
        <f>SUM(H25:I25)</f>
        <v>350</v>
      </c>
      <c r="K25" s="11">
        <v>58</v>
      </c>
      <c r="L25" s="12">
        <v>138</v>
      </c>
      <c r="M25" s="12">
        <f>SUM(K25:L25)</f>
        <v>196</v>
      </c>
      <c r="N25" s="11">
        <f aca="true" t="shared" si="6" ref="N25:O28">SUM(B25,H25)</f>
        <v>239</v>
      </c>
      <c r="O25" s="12">
        <f t="shared" si="6"/>
        <v>904</v>
      </c>
      <c r="P25" s="12">
        <f>SUM(N25:O25)</f>
        <v>1143</v>
      </c>
      <c r="Q25" s="11">
        <f aca="true" t="shared" si="7" ref="Q25:R28">SUM(E25,K25)</f>
        <v>181</v>
      </c>
      <c r="R25" s="12">
        <f t="shared" si="7"/>
        <v>358</v>
      </c>
      <c r="S25" s="12">
        <f>SUM(Q25:R25)</f>
        <v>539</v>
      </c>
      <c r="U25"/>
      <c r="V25"/>
    </row>
    <row r="26" spans="1:22" ht="12.75">
      <c r="A26" s="2" t="s">
        <v>8</v>
      </c>
      <c r="B26" s="11">
        <v>765</v>
      </c>
      <c r="C26" s="12">
        <v>1349</v>
      </c>
      <c r="D26" s="12">
        <f>SUM(B26:C26)</f>
        <v>2114</v>
      </c>
      <c r="E26" s="11">
        <v>246</v>
      </c>
      <c r="F26" s="12">
        <v>421</v>
      </c>
      <c r="G26" s="12">
        <f>SUM(E26:F26)</f>
        <v>667</v>
      </c>
      <c r="H26" s="11">
        <v>192</v>
      </c>
      <c r="I26" s="12">
        <v>1364</v>
      </c>
      <c r="J26" s="12">
        <f>SUM(H26:I26)</f>
        <v>1556</v>
      </c>
      <c r="K26" s="11">
        <v>134</v>
      </c>
      <c r="L26" s="12">
        <v>389</v>
      </c>
      <c r="M26" s="12">
        <f>SUM(K26:L26)</f>
        <v>523</v>
      </c>
      <c r="N26" s="11">
        <f t="shared" si="6"/>
        <v>957</v>
      </c>
      <c r="O26" s="12">
        <f t="shared" si="6"/>
        <v>2713</v>
      </c>
      <c r="P26" s="12">
        <f>SUM(N26:O26)</f>
        <v>3670</v>
      </c>
      <c r="Q26" s="11">
        <f t="shared" si="7"/>
        <v>380</v>
      </c>
      <c r="R26" s="12">
        <f t="shared" si="7"/>
        <v>810</v>
      </c>
      <c r="S26" s="12">
        <f>SUM(Q26:R26)</f>
        <v>1190</v>
      </c>
      <c r="U26"/>
      <c r="V26"/>
    </row>
    <row r="27" spans="1:22" ht="12.75">
      <c r="A27" s="2" t="s">
        <v>9</v>
      </c>
      <c r="B27" s="11">
        <v>36</v>
      </c>
      <c r="C27" s="12">
        <v>77</v>
      </c>
      <c r="D27" s="12">
        <f>SUM(B27:C27)</f>
        <v>113</v>
      </c>
      <c r="E27" s="11">
        <v>17</v>
      </c>
      <c r="F27" s="12">
        <v>32</v>
      </c>
      <c r="G27" s="12">
        <f>SUM(E27:F27)</f>
        <v>49</v>
      </c>
      <c r="H27" s="11">
        <v>12</v>
      </c>
      <c r="I27" s="12">
        <v>62</v>
      </c>
      <c r="J27" s="12">
        <f>SUM(H27:I27)</f>
        <v>74</v>
      </c>
      <c r="K27" s="11">
        <v>6</v>
      </c>
      <c r="L27" s="12">
        <v>19</v>
      </c>
      <c r="M27" s="12">
        <f>SUM(K27:L27)</f>
        <v>25</v>
      </c>
      <c r="N27" s="11">
        <f t="shared" si="6"/>
        <v>48</v>
      </c>
      <c r="O27" s="12">
        <f t="shared" si="6"/>
        <v>139</v>
      </c>
      <c r="P27" s="12">
        <f>SUM(N27:O27)</f>
        <v>187</v>
      </c>
      <c r="Q27" s="11">
        <f t="shared" si="7"/>
        <v>23</v>
      </c>
      <c r="R27" s="12">
        <f t="shared" si="7"/>
        <v>51</v>
      </c>
      <c r="S27" s="12">
        <f>SUM(Q27:R27)</f>
        <v>74</v>
      </c>
      <c r="U27"/>
      <c r="V27"/>
    </row>
    <row r="28" spans="1:22" ht="12.75">
      <c r="A28" s="2" t="s">
        <v>10</v>
      </c>
      <c r="B28" s="11">
        <v>44</v>
      </c>
      <c r="C28" s="12">
        <v>116</v>
      </c>
      <c r="D28" s="12">
        <f>SUM(B28:C28)</f>
        <v>160</v>
      </c>
      <c r="E28" s="11">
        <v>36</v>
      </c>
      <c r="F28" s="12">
        <v>48</v>
      </c>
      <c r="G28" s="12">
        <f>SUM(E28:F28)</f>
        <v>84</v>
      </c>
      <c r="H28" s="11">
        <v>9</v>
      </c>
      <c r="I28" s="12">
        <v>83</v>
      </c>
      <c r="J28" s="12">
        <f>SUM(H28:I28)</f>
        <v>92</v>
      </c>
      <c r="K28" s="11">
        <v>13</v>
      </c>
      <c r="L28" s="12">
        <v>26</v>
      </c>
      <c r="M28" s="12">
        <f>SUM(K28:L28)</f>
        <v>39</v>
      </c>
      <c r="N28" s="11">
        <f t="shared" si="6"/>
        <v>53</v>
      </c>
      <c r="O28" s="12">
        <f t="shared" si="6"/>
        <v>199</v>
      </c>
      <c r="P28" s="12">
        <f>SUM(N28:O28)</f>
        <v>252</v>
      </c>
      <c r="Q28" s="11">
        <f t="shared" si="7"/>
        <v>49</v>
      </c>
      <c r="R28" s="12">
        <f t="shared" si="7"/>
        <v>74</v>
      </c>
      <c r="S28" s="12">
        <f>SUM(Q28:R28)</f>
        <v>123</v>
      </c>
      <c r="U28"/>
      <c r="V28"/>
    </row>
    <row r="29" spans="1:22" ht="12.75">
      <c r="A29" s="19" t="s">
        <v>4</v>
      </c>
      <c r="B29" s="70">
        <f aca="true" t="shared" si="8" ref="B29:S29">SUM(B25:B28)</f>
        <v>1053</v>
      </c>
      <c r="C29" s="71">
        <f t="shared" si="8"/>
        <v>2127</v>
      </c>
      <c r="D29" s="71">
        <f t="shared" si="8"/>
        <v>3180</v>
      </c>
      <c r="E29" s="70">
        <f t="shared" si="8"/>
        <v>422</v>
      </c>
      <c r="F29" s="71">
        <f t="shared" si="8"/>
        <v>721</v>
      </c>
      <c r="G29" s="71">
        <f t="shared" si="8"/>
        <v>1143</v>
      </c>
      <c r="H29" s="70">
        <f t="shared" si="8"/>
        <v>244</v>
      </c>
      <c r="I29" s="71">
        <f t="shared" si="8"/>
        <v>1828</v>
      </c>
      <c r="J29" s="71">
        <f t="shared" si="8"/>
        <v>2072</v>
      </c>
      <c r="K29" s="70">
        <f t="shared" si="8"/>
        <v>211</v>
      </c>
      <c r="L29" s="71">
        <f t="shared" si="8"/>
        <v>572</v>
      </c>
      <c r="M29" s="71">
        <f t="shared" si="8"/>
        <v>783</v>
      </c>
      <c r="N29" s="70">
        <f t="shared" si="8"/>
        <v>1297</v>
      </c>
      <c r="O29" s="71">
        <f t="shared" si="8"/>
        <v>3955</v>
      </c>
      <c r="P29" s="71">
        <f t="shared" si="8"/>
        <v>5252</v>
      </c>
      <c r="Q29" s="70">
        <f t="shared" si="8"/>
        <v>633</v>
      </c>
      <c r="R29" s="71">
        <f t="shared" si="8"/>
        <v>1293</v>
      </c>
      <c r="S29" s="71">
        <f t="shared" si="8"/>
        <v>1926</v>
      </c>
      <c r="U29"/>
      <c r="V29"/>
    </row>
    <row r="30" spans="1:22" ht="12.75">
      <c r="A30" s="3"/>
      <c r="B30" s="11"/>
      <c r="C30" s="12"/>
      <c r="D30" s="12"/>
      <c r="E30" s="11"/>
      <c r="F30" s="12"/>
      <c r="G30" s="12"/>
      <c r="H30" s="11"/>
      <c r="I30" s="12"/>
      <c r="J30" s="12"/>
      <c r="K30" s="11"/>
      <c r="L30" s="12"/>
      <c r="M30" s="12"/>
      <c r="N30" s="11"/>
      <c r="O30" s="12"/>
      <c r="P30" s="12"/>
      <c r="Q30" s="11"/>
      <c r="R30" s="12"/>
      <c r="S30" s="12"/>
      <c r="U30"/>
      <c r="V30"/>
    </row>
    <row r="31" spans="1:22" ht="12.75">
      <c r="A31" s="1" t="s">
        <v>13</v>
      </c>
      <c r="B31" s="11"/>
      <c r="C31" s="12"/>
      <c r="D31" s="12"/>
      <c r="E31" s="11"/>
      <c r="F31" s="12"/>
      <c r="G31" s="12"/>
      <c r="H31" s="11"/>
      <c r="I31" s="12"/>
      <c r="J31" s="12"/>
      <c r="K31" s="11"/>
      <c r="L31" s="12"/>
      <c r="M31" s="12"/>
      <c r="N31" s="11"/>
      <c r="O31" s="12"/>
      <c r="P31" s="12"/>
      <c r="Q31" s="11"/>
      <c r="R31" s="12"/>
      <c r="S31" s="12"/>
      <c r="U31"/>
      <c r="V31"/>
    </row>
    <row r="32" spans="1:22" ht="12.75">
      <c r="A32" s="2" t="s">
        <v>42</v>
      </c>
      <c r="B32" s="11">
        <v>33</v>
      </c>
      <c r="C32" s="12">
        <v>161</v>
      </c>
      <c r="D32" s="12">
        <f>SUM(B32:C32)</f>
        <v>194</v>
      </c>
      <c r="E32" s="11">
        <v>8</v>
      </c>
      <c r="F32" s="12">
        <v>74</v>
      </c>
      <c r="G32" s="12">
        <f>SUM(E32:F32)</f>
        <v>82</v>
      </c>
      <c r="H32" s="11">
        <v>6</v>
      </c>
      <c r="I32" s="12">
        <v>94</v>
      </c>
      <c r="J32" s="12">
        <f>SUM(H32:I32)</f>
        <v>100</v>
      </c>
      <c r="K32" s="11">
        <v>3</v>
      </c>
      <c r="L32" s="12">
        <v>58</v>
      </c>
      <c r="M32" s="12">
        <f>SUM(K32:L32)</f>
        <v>61</v>
      </c>
      <c r="N32" s="11">
        <f aca="true" t="shared" si="9" ref="N32:O35">SUM(B32,H32)</f>
        <v>39</v>
      </c>
      <c r="O32" s="12">
        <f t="shared" si="9"/>
        <v>255</v>
      </c>
      <c r="P32" s="12">
        <f>SUM(N32:O32)</f>
        <v>294</v>
      </c>
      <c r="Q32" s="11">
        <f aca="true" t="shared" si="10" ref="Q32:R35">SUM(E32,K32)</f>
        <v>11</v>
      </c>
      <c r="R32" s="12">
        <f t="shared" si="10"/>
        <v>132</v>
      </c>
      <c r="S32" s="12">
        <f>SUM(Q32:R32)</f>
        <v>143</v>
      </c>
      <c r="U32"/>
      <c r="V32"/>
    </row>
    <row r="33" spans="1:22" ht="12.75">
      <c r="A33" s="2" t="s">
        <v>8</v>
      </c>
      <c r="B33" s="11">
        <v>73</v>
      </c>
      <c r="C33" s="12">
        <v>265</v>
      </c>
      <c r="D33" s="12">
        <f>SUM(B33:C33)</f>
        <v>338</v>
      </c>
      <c r="E33" s="11">
        <v>41</v>
      </c>
      <c r="F33" s="12">
        <v>165</v>
      </c>
      <c r="G33" s="12">
        <f>SUM(E33:F33)</f>
        <v>206</v>
      </c>
      <c r="H33" s="11">
        <v>34</v>
      </c>
      <c r="I33" s="12">
        <v>217</v>
      </c>
      <c r="J33" s="12">
        <f>SUM(H33:I33)</f>
        <v>251</v>
      </c>
      <c r="K33" s="11">
        <v>17</v>
      </c>
      <c r="L33" s="12">
        <v>158</v>
      </c>
      <c r="M33" s="12">
        <f>SUM(K33:L33)</f>
        <v>175</v>
      </c>
      <c r="N33" s="11">
        <f t="shared" si="9"/>
        <v>107</v>
      </c>
      <c r="O33" s="12">
        <f t="shared" si="9"/>
        <v>482</v>
      </c>
      <c r="P33" s="12">
        <f>SUM(N33:O33)</f>
        <v>589</v>
      </c>
      <c r="Q33" s="11">
        <f t="shared" si="10"/>
        <v>58</v>
      </c>
      <c r="R33" s="12">
        <f t="shared" si="10"/>
        <v>323</v>
      </c>
      <c r="S33" s="12">
        <f>SUM(Q33:R33)</f>
        <v>381</v>
      </c>
      <c r="U33"/>
      <c r="V33"/>
    </row>
    <row r="34" spans="1:22" ht="12.75">
      <c r="A34" s="2" t="s">
        <v>9</v>
      </c>
      <c r="B34" s="11">
        <v>2</v>
      </c>
      <c r="C34" s="12">
        <v>5</v>
      </c>
      <c r="D34" s="12">
        <f>SUM(B34:C34)</f>
        <v>7</v>
      </c>
      <c r="E34" s="11">
        <v>2</v>
      </c>
      <c r="F34" s="12">
        <v>3</v>
      </c>
      <c r="G34" s="12">
        <f>SUM(E34:F34)</f>
        <v>5</v>
      </c>
      <c r="H34" s="11">
        <v>0</v>
      </c>
      <c r="I34" s="12">
        <v>4</v>
      </c>
      <c r="J34" s="12">
        <f>SUM(H34:I34)</f>
        <v>4</v>
      </c>
      <c r="K34" s="13">
        <v>0</v>
      </c>
      <c r="L34" s="12">
        <v>3</v>
      </c>
      <c r="M34" s="12">
        <f>SUM(K34:L34)</f>
        <v>3</v>
      </c>
      <c r="N34" s="11">
        <f t="shared" si="9"/>
        <v>2</v>
      </c>
      <c r="O34" s="12">
        <f t="shared" si="9"/>
        <v>9</v>
      </c>
      <c r="P34" s="12">
        <f>SUM(N34:O34)</f>
        <v>11</v>
      </c>
      <c r="Q34" s="11">
        <f t="shared" si="10"/>
        <v>2</v>
      </c>
      <c r="R34" s="12">
        <f t="shared" si="10"/>
        <v>6</v>
      </c>
      <c r="S34" s="12">
        <f>SUM(Q34:R34)</f>
        <v>8</v>
      </c>
      <c r="U34"/>
      <c r="V34"/>
    </row>
    <row r="35" spans="1:22" ht="12.75">
      <c r="A35" s="2" t="s">
        <v>10</v>
      </c>
      <c r="B35" s="11">
        <f>9+1+0</f>
        <v>10</v>
      </c>
      <c r="C35" s="12">
        <f>35+6+7</f>
        <v>48</v>
      </c>
      <c r="D35" s="12">
        <f>SUM(B35:C35)</f>
        <v>58</v>
      </c>
      <c r="E35" s="11">
        <f>4+0+1</f>
        <v>5</v>
      </c>
      <c r="F35" s="12">
        <f>14+5+6</f>
        <v>25</v>
      </c>
      <c r="G35" s="12">
        <f>SUM(E35:F35)</f>
        <v>30</v>
      </c>
      <c r="H35" s="11">
        <f>6+1+0</f>
        <v>7</v>
      </c>
      <c r="I35" s="12">
        <f>27+4+2</f>
        <v>33</v>
      </c>
      <c r="J35" s="12">
        <f>SUM(H35:I35)</f>
        <v>40</v>
      </c>
      <c r="K35" s="11">
        <f>4+0+0</f>
        <v>4</v>
      </c>
      <c r="L35" s="12">
        <f>13+3+4</f>
        <v>20</v>
      </c>
      <c r="M35" s="12">
        <f>SUM(K35:L35)</f>
        <v>24</v>
      </c>
      <c r="N35" s="11">
        <f t="shared" si="9"/>
        <v>17</v>
      </c>
      <c r="O35" s="12">
        <f t="shared" si="9"/>
        <v>81</v>
      </c>
      <c r="P35" s="12">
        <f>SUM(N35:O35)</f>
        <v>98</v>
      </c>
      <c r="Q35" s="11">
        <f t="shared" si="10"/>
        <v>9</v>
      </c>
      <c r="R35" s="12">
        <f t="shared" si="10"/>
        <v>45</v>
      </c>
      <c r="S35" s="12">
        <f>SUM(Q35:R35)</f>
        <v>54</v>
      </c>
      <c r="U35"/>
      <c r="V35"/>
    </row>
    <row r="36" spans="1:22" ht="12.75">
      <c r="A36" s="19" t="s">
        <v>4</v>
      </c>
      <c r="B36" s="70">
        <f aca="true" t="shared" si="11" ref="B36:S36">SUM(B32:B35)</f>
        <v>118</v>
      </c>
      <c r="C36" s="71">
        <f t="shared" si="11"/>
        <v>479</v>
      </c>
      <c r="D36" s="71">
        <f t="shared" si="11"/>
        <v>597</v>
      </c>
      <c r="E36" s="70">
        <f t="shared" si="11"/>
        <v>56</v>
      </c>
      <c r="F36" s="71">
        <f t="shared" si="11"/>
        <v>267</v>
      </c>
      <c r="G36" s="71">
        <f t="shared" si="11"/>
        <v>323</v>
      </c>
      <c r="H36" s="70">
        <f t="shared" si="11"/>
        <v>47</v>
      </c>
      <c r="I36" s="71">
        <f t="shared" si="11"/>
        <v>348</v>
      </c>
      <c r="J36" s="71">
        <f t="shared" si="11"/>
        <v>395</v>
      </c>
      <c r="K36" s="70">
        <f t="shared" si="11"/>
        <v>24</v>
      </c>
      <c r="L36" s="71">
        <f t="shared" si="11"/>
        <v>239</v>
      </c>
      <c r="M36" s="71">
        <f t="shared" si="11"/>
        <v>263</v>
      </c>
      <c r="N36" s="70">
        <f t="shared" si="11"/>
        <v>165</v>
      </c>
      <c r="O36" s="71">
        <f t="shared" si="11"/>
        <v>827</v>
      </c>
      <c r="P36" s="71">
        <f t="shared" si="11"/>
        <v>992</v>
      </c>
      <c r="Q36" s="70">
        <f t="shared" si="11"/>
        <v>80</v>
      </c>
      <c r="R36" s="71">
        <f t="shared" si="11"/>
        <v>506</v>
      </c>
      <c r="S36" s="71">
        <f t="shared" si="11"/>
        <v>586</v>
      </c>
      <c r="U36"/>
      <c r="V36"/>
    </row>
    <row r="37" spans="1:22" ht="12.75">
      <c r="A37" s="19"/>
      <c r="B37" s="23"/>
      <c r="C37" s="24"/>
      <c r="D37" s="24"/>
      <c r="E37" s="23"/>
      <c r="F37" s="24"/>
      <c r="G37" s="24"/>
      <c r="H37" s="23"/>
      <c r="I37" s="24"/>
      <c r="J37" s="24"/>
      <c r="K37" s="23"/>
      <c r="L37" s="24"/>
      <c r="M37" s="24"/>
      <c r="N37" s="23"/>
      <c r="O37" s="24"/>
      <c r="P37" s="24"/>
      <c r="Q37" s="23"/>
      <c r="R37" s="24"/>
      <c r="S37" s="24"/>
      <c r="U37"/>
      <c r="V37"/>
    </row>
    <row r="38" spans="1:22" ht="12.75">
      <c r="A38" s="1" t="s">
        <v>75</v>
      </c>
      <c r="B38" s="11"/>
      <c r="C38" s="12"/>
      <c r="D38" s="12"/>
      <c r="E38" s="11"/>
      <c r="F38" s="12"/>
      <c r="G38" s="12"/>
      <c r="H38" s="11"/>
      <c r="I38" s="12"/>
      <c r="J38" s="12"/>
      <c r="K38" s="11"/>
      <c r="L38" s="12"/>
      <c r="M38" s="12"/>
      <c r="N38" s="11"/>
      <c r="O38" s="12"/>
      <c r="P38" s="12"/>
      <c r="Q38" s="11"/>
      <c r="R38" s="12"/>
      <c r="S38" s="12"/>
      <c r="U38"/>
      <c r="V38"/>
    </row>
    <row r="39" spans="1:22" ht="12.75">
      <c r="A39" s="2" t="s">
        <v>42</v>
      </c>
      <c r="B39" s="11">
        <v>0</v>
      </c>
      <c r="C39" s="12">
        <v>0</v>
      </c>
      <c r="D39" s="12">
        <f>SUM(B39:C39)</f>
        <v>0</v>
      </c>
      <c r="E39" s="11">
        <v>0</v>
      </c>
      <c r="F39" s="12">
        <v>0</v>
      </c>
      <c r="G39" s="12">
        <f>SUM(E39:F39)</f>
        <v>0</v>
      </c>
      <c r="H39" s="11">
        <v>0</v>
      </c>
      <c r="I39" s="12">
        <v>0</v>
      </c>
      <c r="J39" s="12">
        <f>SUM(H39:I39)</f>
        <v>0</v>
      </c>
      <c r="K39" s="11">
        <v>0</v>
      </c>
      <c r="L39" s="12">
        <v>0</v>
      </c>
      <c r="M39" s="12">
        <f>SUM(K39:L39)</f>
        <v>0</v>
      </c>
      <c r="N39" s="11">
        <f aca="true" t="shared" si="12" ref="N39:O42">SUM(B39,H39)</f>
        <v>0</v>
      </c>
      <c r="O39" s="12">
        <f t="shared" si="12"/>
        <v>0</v>
      </c>
      <c r="P39" s="12">
        <f>SUM(N39:O39)</f>
        <v>0</v>
      </c>
      <c r="Q39" s="11">
        <f aca="true" t="shared" si="13" ref="Q39:R42">SUM(E39,K39)</f>
        <v>0</v>
      </c>
      <c r="R39" s="12">
        <f t="shared" si="13"/>
        <v>0</v>
      </c>
      <c r="S39" s="12">
        <f>SUM(Q39:R39)</f>
        <v>0</v>
      </c>
      <c r="U39"/>
      <c r="V39"/>
    </row>
    <row r="40" spans="1:22" ht="12.75">
      <c r="A40" s="2" t="s">
        <v>8</v>
      </c>
      <c r="B40" s="11">
        <v>2</v>
      </c>
      <c r="C40" s="12">
        <v>10</v>
      </c>
      <c r="D40" s="12">
        <f>SUM(B40:C40)</f>
        <v>12</v>
      </c>
      <c r="E40" s="11">
        <v>0</v>
      </c>
      <c r="F40" s="12">
        <v>5</v>
      </c>
      <c r="G40" s="12">
        <f>SUM(E40:F40)</f>
        <v>5</v>
      </c>
      <c r="H40" s="11">
        <v>0</v>
      </c>
      <c r="I40" s="12">
        <v>4</v>
      </c>
      <c r="J40" s="12">
        <f>SUM(H40:I40)</f>
        <v>4</v>
      </c>
      <c r="K40" s="11">
        <v>0</v>
      </c>
      <c r="L40" s="12">
        <v>3</v>
      </c>
      <c r="M40" s="12">
        <f>SUM(K40:L40)</f>
        <v>3</v>
      </c>
      <c r="N40" s="11">
        <f t="shared" si="12"/>
        <v>2</v>
      </c>
      <c r="O40" s="12">
        <f t="shared" si="12"/>
        <v>14</v>
      </c>
      <c r="P40" s="12">
        <f>SUM(N40:O40)</f>
        <v>16</v>
      </c>
      <c r="Q40" s="11">
        <f t="shared" si="13"/>
        <v>0</v>
      </c>
      <c r="R40" s="12">
        <f t="shared" si="13"/>
        <v>8</v>
      </c>
      <c r="S40" s="12">
        <f>SUM(Q40:R40)</f>
        <v>8</v>
      </c>
      <c r="U40"/>
      <c r="V40"/>
    </row>
    <row r="41" spans="1:22" ht="12.75">
      <c r="A41" s="2" t="s">
        <v>9</v>
      </c>
      <c r="B41" s="11">
        <v>0</v>
      </c>
      <c r="C41" s="12">
        <v>0</v>
      </c>
      <c r="D41" s="12">
        <f>SUM(B41:C41)</f>
        <v>0</v>
      </c>
      <c r="E41" s="11">
        <v>0</v>
      </c>
      <c r="F41" s="12">
        <v>0</v>
      </c>
      <c r="G41" s="12">
        <f>SUM(E41:F41)</f>
        <v>0</v>
      </c>
      <c r="H41" s="11">
        <v>0</v>
      </c>
      <c r="I41" s="12">
        <v>0</v>
      </c>
      <c r="J41" s="12">
        <f>SUM(H41:I41)</f>
        <v>0</v>
      </c>
      <c r="K41" s="13">
        <v>0</v>
      </c>
      <c r="L41" s="12">
        <v>0</v>
      </c>
      <c r="M41" s="12">
        <f>SUM(K41:L41)</f>
        <v>0</v>
      </c>
      <c r="N41" s="11">
        <f t="shared" si="12"/>
        <v>0</v>
      </c>
      <c r="O41" s="12">
        <f t="shared" si="12"/>
        <v>0</v>
      </c>
      <c r="P41" s="12">
        <f>SUM(N41:O41)</f>
        <v>0</v>
      </c>
      <c r="Q41" s="11">
        <f t="shared" si="13"/>
        <v>0</v>
      </c>
      <c r="R41" s="12">
        <f t="shared" si="13"/>
        <v>0</v>
      </c>
      <c r="S41" s="12">
        <f>SUM(Q41:R41)</f>
        <v>0</v>
      </c>
      <c r="U41"/>
      <c r="V41"/>
    </row>
    <row r="42" spans="1:22" ht="12.75">
      <c r="A42" s="2" t="s">
        <v>10</v>
      </c>
      <c r="B42" s="11">
        <v>0</v>
      </c>
      <c r="C42" s="12">
        <v>0</v>
      </c>
      <c r="D42" s="12">
        <f>SUM(B42:C42)</f>
        <v>0</v>
      </c>
      <c r="E42" s="11">
        <v>0</v>
      </c>
      <c r="F42" s="12">
        <v>0</v>
      </c>
      <c r="G42" s="12">
        <f>SUM(E42:F42)</f>
        <v>0</v>
      </c>
      <c r="H42" s="11">
        <v>0</v>
      </c>
      <c r="I42" s="12">
        <v>0</v>
      </c>
      <c r="J42" s="12">
        <f>SUM(H42:I42)</f>
        <v>0</v>
      </c>
      <c r="K42" s="11">
        <v>0</v>
      </c>
      <c r="L42" s="12">
        <v>0</v>
      </c>
      <c r="M42" s="12">
        <f>SUM(K42:L42)</f>
        <v>0</v>
      </c>
      <c r="N42" s="11">
        <f t="shared" si="12"/>
        <v>0</v>
      </c>
      <c r="O42" s="12">
        <f t="shared" si="12"/>
        <v>0</v>
      </c>
      <c r="P42" s="12">
        <f>SUM(N42:O42)</f>
        <v>0</v>
      </c>
      <c r="Q42" s="11">
        <f t="shared" si="13"/>
        <v>0</v>
      </c>
      <c r="R42" s="12">
        <f t="shared" si="13"/>
        <v>0</v>
      </c>
      <c r="S42" s="12">
        <f>SUM(Q42:R42)</f>
        <v>0</v>
      </c>
      <c r="U42"/>
      <c r="V42"/>
    </row>
    <row r="43" spans="1:22" ht="12.75">
      <c r="A43" s="19" t="s">
        <v>4</v>
      </c>
      <c r="B43" s="70">
        <f aca="true" t="shared" si="14" ref="B43:S43">SUM(B39:B42)</f>
        <v>2</v>
      </c>
      <c r="C43" s="71">
        <f t="shared" si="14"/>
        <v>10</v>
      </c>
      <c r="D43" s="71">
        <f t="shared" si="14"/>
        <v>12</v>
      </c>
      <c r="E43" s="70">
        <f t="shared" si="14"/>
        <v>0</v>
      </c>
      <c r="F43" s="71">
        <f t="shared" si="14"/>
        <v>5</v>
      </c>
      <c r="G43" s="71">
        <f t="shared" si="14"/>
        <v>5</v>
      </c>
      <c r="H43" s="70">
        <f t="shared" si="14"/>
        <v>0</v>
      </c>
      <c r="I43" s="71">
        <f t="shared" si="14"/>
        <v>4</v>
      </c>
      <c r="J43" s="71">
        <f t="shared" si="14"/>
        <v>4</v>
      </c>
      <c r="K43" s="70">
        <f t="shared" si="14"/>
        <v>0</v>
      </c>
      <c r="L43" s="71">
        <f t="shared" si="14"/>
        <v>3</v>
      </c>
      <c r="M43" s="71">
        <f t="shared" si="14"/>
        <v>3</v>
      </c>
      <c r="N43" s="70">
        <f t="shared" si="14"/>
        <v>2</v>
      </c>
      <c r="O43" s="71">
        <f t="shared" si="14"/>
        <v>14</v>
      </c>
      <c r="P43" s="71">
        <f t="shared" si="14"/>
        <v>16</v>
      </c>
      <c r="Q43" s="70">
        <f t="shared" si="14"/>
        <v>0</v>
      </c>
      <c r="R43" s="71">
        <f t="shared" si="14"/>
        <v>8</v>
      </c>
      <c r="S43" s="71">
        <f t="shared" si="14"/>
        <v>8</v>
      </c>
      <c r="U43"/>
      <c r="V43"/>
    </row>
    <row r="44" spans="1:22" ht="12.75">
      <c r="A44" s="2"/>
      <c r="B44" s="11"/>
      <c r="C44" s="12"/>
      <c r="D44" s="12"/>
      <c r="E44" s="11"/>
      <c r="F44" s="12"/>
      <c r="G44" s="12"/>
      <c r="H44" s="11"/>
      <c r="I44" s="12"/>
      <c r="J44" s="12"/>
      <c r="K44" s="11"/>
      <c r="L44" s="12"/>
      <c r="M44" s="12"/>
      <c r="N44" s="11"/>
      <c r="O44" s="12"/>
      <c r="P44" s="12"/>
      <c r="Q44" s="11"/>
      <c r="R44" s="12"/>
      <c r="S44" s="12"/>
      <c r="U44"/>
      <c r="V44"/>
    </row>
    <row r="45" spans="1:22" ht="12.75">
      <c r="A45" s="1" t="s">
        <v>14</v>
      </c>
      <c r="B45" s="11"/>
      <c r="C45" s="12"/>
      <c r="D45" s="12"/>
      <c r="E45" s="11"/>
      <c r="F45" s="12"/>
      <c r="G45" s="12"/>
      <c r="H45" s="11"/>
      <c r="I45" s="12"/>
      <c r="J45" s="12"/>
      <c r="K45" s="11"/>
      <c r="L45" s="12"/>
      <c r="M45" s="12"/>
      <c r="N45" s="11"/>
      <c r="O45" s="12"/>
      <c r="P45" s="12"/>
      <c r="Q45" s="11"/>
      <c r="R45" s="12"/>
      <c r="S45" s="12"/>
      <c r="U45"/>
      <c r="V45"/>
    </row>
    <row r="46" spans="1:22" ht="12.75">
      <c r="A46" s="19" t="s">
        <v>4</v>
      </c>
      <c r="B46" s="23">
        <f>414+3</f>
        <v>417</v>
      </c>
      <c r="C46" s="24">
        <f>527+4</f>
        <v>531</v>
      </c>
      <c r="D46" s="24">
        <f>SUM(B46:C46)</f>
        <v>948</v>
      </c>
      <c r="E46" s="23">
        <f>158+0</f>
        <v>158</v>
      </c>
      <c r="F46" s="24">
        <f>260+0</f>
        <v>260</v>
      </c>
      <c r="G46" s="24">
        <f>SUM(E46:F46)</f>
        <v>418</v>
      </c>
      <c r="H46" s="23">
        <f>104+4</f>
        <v>108</v>
      </c>
      <c r="I46" s="24">
        <f>528+19</f>
        <v>547</v>
      </c>
      <c r="J46" s="24">
        <f>SUM(H46:I46)</f>
        <v>655</v>
      </c>
      <c r="K46" s="23">
        <f>46+0</f>
        <v>46</v>
      </c>
      <c r="L46" s="24">
        <f>212+0</f>
        <v>212</v>
      </c>
      <c r="M46" s="24">
        <f>SUM(K46:L46)</f>
        <v>258</v>
      </c>
      <c r="N46" s="23">
        <f>SUM(B46,H46)</f>
        <v>525</v>
      </c>
      <c r="O46" s="24">
        <f>SUM(C46,I46)</f>
        <v>1078</v>
      </c>
      <c r="P46" s="24">
        <f>SUM(N46:O46)</f>
        <v>1603</v>
      </c>
      <c r="Q46" s="23">
        <f>SUM(E46,K46)</f>
        <v>204</v>
      </c>
      <c r="R46" s="24">
        <f>SUM(F46,L46)</f>
        <v>472</v>
      </c>
      <c r="S46" s="24">
        <f>SUM(Q46:R46)</f>
        <v>676</v>
      </c>
      <c r="U46"/>
      <c r="V46"/>
    </row>
    <row r="47" spans="1:22" ht="12.75">
      <c r="A47" s="2"/>
      <c r="B47" s="11"/>
      <c r="C47" s="12"/>
      <c r="D47" s="12"/>
      <c r="E47" s="11"/>
      <c r="F47" s="12"/>
      <c r="G47" s="12"/>
      <c r="H47" s="11"/>
      <c r="I47" s="12"/>
      <c r="J47" s="12"/>
      <c r="K47" s="11"/>
      <c r="L47" s="12"/>
      <c r="M47" s="12"/>
      <c r="N47" s="11"/>
      <c r="O47" s="12"/>
      <c r="P47" s="12"/>
      <c r="Q47" s="11"/>
      <c r="R47" s="12"/>
      <c r="S47" s="12"/>
      <c r="U47"/>
      <c r="V47"/>
    </row>
    <row r="48" spans="1:22" s="75" customFormat="1" ht="12.75">
      <c r="A48" s="72" t="s">
        <v>50</v>
      </c>
      <c r="B48" s="84"/>
      <c r="C48" s="85"/>
      <c r="D48" s="161"/>
      <c r="E48" s="84"/>
      <c r="F48" s="85"/>
      <c r="G48" s="85"/>
      <c r="H48" s="84"/>
      <c r="I48" s="85"/>
      <c r="J48" s="85"/>
      <c r="K48" s="84"/>
      <c r="L48" s="85"/>
      <c r="M48" s="85"/>
      <c r="N48" s="84"/>
      <c r="O48" s="85"/>
      <c r="P48" s="85"/>
      <c r="Q48" s="84"/>
      <c r="R48" s="85"/>
      <c r="S48" s="85"/>
      <c r="U48"/>
      <c r="V48"/>
    </row>
    <row r="49" spans="1:22" s="75" customFormat="1" ht="12.75">
      <c r="A49" s="87" t="s">
        <v>4</v>
      </c>
      <c r="B49" s="91">
        <v>0</v>
      </c>
      <c r="C49" s="92">
        <v>0</v>
      </c>
      <c r="D49" s="92">
        <f>SUM(B49,C49)</f>
        <v>0</v>
      </c>
      <c r="E49" s="91">
        <v>2</v>
      </c>
      <c r="F49" s="92">
        <v>26</v>
      </c>
      <c r="G49" s="92">
        <f>SUM(E49:F49)</f>
        <v>28</v>
      </c>
      <c r="H49" s="91">
        <v>0</v>
      </c>
      <c r="I49" s="92">
        <v>0</v>
      </c>
      <c r="J49" s="92">
        <f>SUM(H49:I49)</f>
        <v>0</v>
      </c>
      <c r="K49" s="91">
        <v>8</v>
      </c>
      <c r="L49" s="92">
        <v>70</v>
      </c>
      <c r="M49" s="92">
        <f>SUM(K49:L49)</f>
        <v>78</v>
      </c>
      <c r="N49" s="91">
        <f>SUM(B49,H49)</f>
        <v>0</v>
      </c>
      <c r="O49" s="92">
        <f>SUM(C49,I49)</f>
        <v>0</v>
      </c>
      <c r="P49" s="92">
        <f>SUM(N49:O49)</f>
        <v>0</v>
      </c>
      <c r="Q49" s="91">
        <f>SUM(E49,K49)</f>
        <v>10</v>
      </c>
      <c r="R49" s="92">
        <f>SUM(F49,L49)</f>
        <v>96</v>
      </c>
      <c r="S49" s="92">
        <f>SUM(Q49:R49)</f>
        <v>106</v>
      </c>
      <c r="U49"/>
      <c r="V49"/>
    </row>
    <row r="50" spans="1:22" ht="12.75">
      <c r="A50" s="2"/>
      <c r="B50" s="11"/>
      <c r="C50" s="12"/>
      <c r="D50" s="12"/>
      <c r="E50" s="11"/>
      <c r="F50" s="12"/>
      <c r="G50" s="12"/>
      <c r="H50" s="11"/>
      <c r="I50" s="12"/>
      <c r="J50" s="12"/>
      <c r="K50" s="11"/>
      <c r="L50" s="12"/>
      <c r="M50" s="12"/>
      <c r="N50" s="11"/>
      <c r="O50" s="12"/>
      <c r="P50" s="12"/>
      <c r="Q50" s="11"/>
      <c r="R50" s="12"/>
      <c r="S50" s="12"/>
      <c r="U50"/>
      <c r="V50"/>
    </row>
    <row r="51" spans="1:22" ht="12.75">
      <c r="A51" s="1" t="s">
        <v>46</v>
      </c>
      <c r="B51" s="11"/>
      <c r="C51" s="12"/>
      <c r="D51" s="12"/>
      <c r="E51" s="11"/>
      <c r="F51" s="12"/>
      <c r="G51" s="12"/>
      <c r="H51" s="11"/>
      <c r="I51" s="12"/>
      <c r="J51" s="12"/>
      <c r="K51" s="11"/>
      <c r="L51" s="12"/>
      <c r="M51" s="12"/>
      <c r="N51" s="11"/>
      <c r="O51" s="12"/>
      <c r="P51" s="12"/>
      <c r="Q51" s="11"/>
      <c r="R51" s="12"/>
      <c r="S51" s="12"/>
      <c r="U51"/>
      <c r="V51"/>
    </row>
    <row r="52" spans="1:22" ht="12.75">
      <c r="A52" s="2" t="s">
        <v>42</v>
      </c>
      <c r="B52" s="11">
        <v>17</v>
      </c>
      <c r="C52" s="18">
        <v>94</v>
      </c>
      <c r="D52" s="12">
        <f>SUM(B52:C52)</f>
        <v>111</v>
      </c>
      <c r="E52" s="11">
        <v>10</v>
      </c>
      <c r="F52" s="12">
        <v>31</v>
      </c>
      <c r="G52" s="12">
        <f>SUM(E52:F52)</f>
        <v>41</v>
      </c>
      <c r="H52" s="11">
        <v>8</v>
      </c>
      <c r="I52" s="12">
        <v>39</v>
      </c>
      <c r="J52" s="12">
        <f>SUM(H52:I52)</f>
        <v>47</v>
      </c>
      <c r="K52" s="11">
        <v>11</v>
      </c>
      <c r="L52" s="12">
        <v>45</v>
      </c>
      <c r="M52" s="12">
        <f>SUM(K52:L52)</f>
        <v>56</v>
      </c>
      <c r="N52" s="11">
        <f aca="true" t="shared" si="15" ref="N52:O55">SUM(B52,H52)</f>
        <v>25</v>
      </c>
      <c r="O52" s="12">
        <f t="shared" si="15"/>
        <v>133</v>
      </c>
      <c r="P52" s="12">
        <f>SUM(N52:O52)</f>
        <v>158</v>
      </c>
      <c r="Q52" s="11">
        <f aca="true" t="shared" si="16" ref="Q52:R55">SUM(E52,K52)</f>
        <v>21</v>
      </c>
      <c r="R52" s="12">
        <f t="shared" si="16"/>
        <v>76</v>
      </c>
      <c r="S52" s="12">
        <f>SUM(Q52:R52)</f>
        <v>97</v>
      </c>
      <c r="U52"/>
      <c r="V52"/>
    </row>
    <row r="53" spans="1:22" ht="12.75">
      <c r="A53" s="2" t="s">
        <v>8</v>
      </c>
      <c r="B53" s="11">
        <v>25</v>
      </c>
      <c r="C53" s="12">
        <v>92</v>
      </c>
      <c r="D53" s="12">
        <f>SUM(B53:C53)</f>
        <v>117</v>
      </c>
      <c r="E53" s="11">
        <v>10</v>
      </c>
      <c r="F53" s="12">
        <v>34</v>
      </c>
      <c r="G53" s="12">
        <f>SUM(E53:F53)</f>
        <v>44</v>
      </c>
      <c r="H53" s="11">
        <v>5</v>
      </c>
      <c r="I53" s="12">
        <v>71</v>
      </c>
      <c r="J53" s="12">
        <f>SUM(H53:I53)</f>
        <v>76</v>
      </c>
      <c r="K53" s="11">
        <v>9</v>
      </c>
      <c r="L53" s="12">
        <v>44</v>
      </c>
      <c r="M53" s="12">
        <f>SUM(K53:L53)</f>
        <v>53</v>
      </c>
      <c r="N53" s="11">
        <f t="shared" si="15"/>
        <v>30</v>
      </c>
      <c r="O53" s="12">
        <f t="shared" si="15"/>
        <v>163</v>
      </c>
      <c r="P53" s="12">
        <f>SUM(N53:O53)</f>
        <v>193</v>
      </c>
      <c r="Q53" s="11">
        <f t="shared" si="16"/>
        <v>19</v>
      </c>
      <c r="R53" s="12">
        <f t="shared" si="16"/>
        <v>78</v>
      </c>
      <c r="S53" s="12">
        <f>SUM(Q53:R53)</f>
        <v>97</v>
      </c>
      <c r="U53"/>
      <c r="V53"/>
    </row>
    <row r="54" spans="1:22" ht="12.75">
      <c r="A54" s="2" t="s">
        <v>9</v>
      </c>
      <c r="B54" s="11">
        <v>12</v>
      </c>
      <c r="C54" s="12">
        <v>19</v>
      </c>
      <c r="D54" s="12">
        <f>SUM(B54:C54)</f>
        <v>31</v>
      </c>
      <c r="E54" s="13">
        <v>4</v>
      </c>
      <c r="F54" s="12">
        <v>8</v>
      </c>
      <c r="G54" s="12">
        <f>SUM(E54:F54)</f>
        <v>12</v>
      </c>
      <c r="H54" s="11">
        <v>1</v>
      </c>
      <c r="I54" s="12">
        <v>26</v>
      </c>
      <c r="J54" s="12">
        <f>SUM(H54:I54)</f>
        <v>27</v>
      </c>
      <c r="K54" s="11">
        <v>2</v>
      </c>
      <c r="L54" s="12">
        <v>11</v>
      </c>
      <c r="M54" s="12">
        <f>SUM(K54:L54)</f>
        <v>13</v>
      </c>
      <c r="N54" s="11">
        <f t="shared" si="15"/>
        <v>13</v>
      </c>
      <c r="O54" s="12">
        <f t="shared" si="15"/>
        <v>45</v>
      </c>
      <c r="P54" s="12">
        <f>SUM(N54:O54)</f>
        <v>58</v>
      </c>
      <c r="Q54" s="11">
        <f t="shared" si="16"/>
        <v>6</v>
      </c>
      <c r="R54" s="12">
        <f t="shared" si="16"/>
        <v>19</v>
      </c>
      <c r="S54" s="12">
        <f>SUM(Q54:R54)</f>
        <v>25</v>
      </c>
      <c r="U54"/>
      <c r="V54"/>
    </row>
    <row r="55" spans="1:22" ht="12.75">
      <c r="A55" s="2" t="s">
        <v>10</v>
      </c>
      <c r="B55" s="11">
        <v>7</v>
      </c>
      <c r="C55" s="12">
        <v>22</v>
      </c>
      <c r="D55" s="12">
        <f>SUM(B55:C55)</f>
        <v>29</v>
      </c>
      <c r="E55" s="11">
        <v>5</v>
      </c>
      <c r="F55" s="12">
        <v>12</v>
      </c>
      <c r="G55" s="12">
        <f>SUM(E55:F55)</f>
        <v>17</v>
      </c>
      <c r="H55" s="11">
        <f>5+0</f>
        <v>5</v>
      </c>
      <c r="I55" s="12">
        <f>27+1</f>
        <v>28</v>
      </c>
      <c r="J55" s="12">
        <f>SUM(H55:I55)</f>
        <v>33</v>
      </c>
      <c r="K55" s="11">
        <v>1</v>
      </c>
      <c r="L55" s="12">
        <v>13</v>
      </c>
      <c r="M55" s="12">
        <f>SUM(K55:L55)</f>
        <v>14</v>
      </c>
      <c r="N55" s="11">
        <f t="shared" si="15"/>
        <v>12</v>
      </c>
      <c r="O55" s="12">
        <f t="shared" si="15"/>
        <v>50</v>
      </c>
      <c r="P55" s="12">
        <f>SUM(N55:O55)</f>
        <v>62</v>
      </c>
      <c r="Q55" s="11">
        <f t="shared" si="16"/>
        <v>6</v>
      </c>
      <c r="R55" s="12">
        <f t="shared" si="16"/>
        <v>25</v>
      </c>
      <c r="S55" s="12">
        <f>SUM(Q55:R55)</f>
        <v>31</v>
      </c>
      <c r="U55"/>
      <c r="V55"/>
    </row>
    <row r="56" spans="1:22" ht="12.75">
      <c r="A56" s="19" t="s">
        <v>4</v>
      </c>
      <c r="B56" s="70">
        <f aca="true" t="shared" si="17" ref="B56:S56">SUM(B52:B55)</f>
        <v>61</v>
      </c>
      <c r="C56" s="71">
        <f t="shared" si="17"/>
        <v>227</v>
      </c>
      <c r="D56" s="71">
        <f t="shared" si="17"/>
        <v>288</v>
      </c>
      <c r="E56" s="70">
        <f t="shared" si="17"/>
        <v>29</v>
      </c>
      <c r="F56" s="71">
        <f t="shared" si="17"/>
        <v>85</v>
      </c>
      <c r="G56" s="71">
        <f t="shared" si="17"/>
        <v>114</v>
      </c>
      <c r="H56" s="70">
        <f t="shared" si="17"/>
        <v>19</v>
      </c>
      <c r="I56" s="71">
        <f t="shared" si="17"/>
        <v>164</v>
      </c>
      <c r="J56" s="71">
        <f t="shared" si="17"/>
        <v>183</v>
      </c>
      <c r="K56" s="70">
        <f t="shared" si="17"/>
        <v>23</v>
      </c>
      <c r="L56" s="71">
        <f t="shared" si="17"/>
        <v>113</v>
      </c>
      <c r="M56" s="71">
        <f t="shared" si="17"/>
        <v>136</v>
      </c>
      <c r="N56" s="70">
        <f t="shared" si="17"/>
        <v>80</v>
      </c>
      <c r="O56" s="71">
        <f t="shared" si="17"/>
        <v>391</v>
      </c>
      <c r="P56" s="71">
        <f t="shared" si="17"/>
        <v>471</v>
      </c>
      <c r="Q56" s="70">
        <f t="shared" si="17"/>
        <v>52</v>
      </c>
      <c r="R56" s="71">
        <f t="shared" si="17"/>
        <v>198</v>
      </c>
      <c r="S56" s="71">
        <f t="shared" si="17"/>
        <v>250</v>
      </c>
      <c r="U56"/>
      <c r="V56"/>
    </row>
    <row r="57" spans="1:22" ht="12.75">
      <c r="A57" s="2"/>
      <c r="B57" s="11"/>
      <c r="C57" s="12"/>
      <c r="D57" s="12"/>
      <c r="E57" s="11"/>
      <c r="F57" s="12"/>
      <c r="G57" s="12"/>
      <c r="H57" s="11"/>
      <c r="I57" s="12"/>
      <c r="J57" s="12"/>
      <c r="K57" s="11"/>
      <c r="L57" s="12"/>
      <c r="M57" s="12"/>
      <c r="N57" s="11"/>
      <c r="O57" s="12"/>
      <c r="P57" s="12"/>
      <c r="Q57" s="11"/>
      <c r="R57" s="12"/>
      <c r="S57" s="12"/>
      <c r="U57"/>
      <c r="V57"/>
    </row>
    <row r="58" spans="1:22" ht="12.75">
      <c r="A58" s="1" t="s">
        <v>47</v>
      </c>
      <c r="B58" s="11"/>
      <c r="C58" s="12"/>
      <c r="D58" s="12"/>
      <c r="E58" s="11"/>
      <c r="F58" s="12"/>
      <c r="G58" s="12"/>
      <c r="H58" s="11"/>
      <c r="I58" s="12"/>
      <c r="J58" s="12"/>
      <c r="K58" s="11"/>
      <c r="L58" s="12"/>
      <c r="M58" s="12"/>
      <c r="N58" s="11"/>
      <c r="O58" s="12"/>
      <c r="P58" s="12"/>
      <c r="Q58" s="11"/>
      <c r="R58" s="12"/>
      <c r="S58" s="12"/>
      <c r="U58"/>
      <c r="V58"/>
    </row>
    <row r="59" spans="1:22" ht="12.75">
      <c r="A59" s="2" t="s">
        <v>42</v>
      </c>
      <c r="B59" s="13">
        <v>1</v>
      </c>
      <c r="C59" s="18">
        <v>6</v>
      </c>
      <c r="D59" s="18">
        <f>SUM(B59:C59)</f>
        <v>7</v>
      </c>
      <c r="E59" s="11">
        <v>0</v>
      </c>
      <c r="F59" s="18">
        <v>1</v>
      </c>
      <c r="G59" s="12">
        <f>SUM(E59:F59)</f>
        <v>1</v>
      </c>
      <c r="H59" s="11">
        <v>0</v>
      </c>
      <c r="I59" s="12">
        <v>3</v>
      </c>
      <c r="J59" s="12">
        <f>SUM(H59:I59)</f>
        <v>3</v>
      </c>
      <c r="K59" s="11">
        <v>1</v>
      </c>
      <c r="L59" s="12">
        <v>0</v>
      </c>
      <c r="M59" s="12">
        <f>SUM(K59:L59)</f>
        <v>1</v>
      </c>
      <c r="N59" s="11">
        <f aca="true" t="shared" si="18" ref="N59:O62">SUM(B59,H59)</f>
        <v>1</v>
      </c>
      <c r="O59" s="12">
        <f t="shared" si="18"/>
        <v>9</v>
      </c>
      <c r="P59" s="12">
        <f>SUM(N59:O59)</f>
        <v>10</v>
      </c>
      <c r="Q59" s="11">
        <f aca="true" t="shared" si="19" ref="Q59:R62">SUM(E59,K59)</f>
        <v>1</v>
      </c>
      <c r="R59" s="12">
        <f t="shared" si="19"/>
        <v>1</v>
      </c>
      <c r="S59" s="12">
        <f>SUM(Q59:R59)</f>
        <v>2</v>
      </c>
      <c r="U59"/>
      <c r="V59"/>
    </row>
    <row r="60" spans="1:22" ht="12.75">
      <c r="A60" s="2" t="s">
        <v>8</v>
      </c>
      <c r="B60" s="11">
        <v>0</v>
      </c>
      <c r="C60" s="12">
        <v>4</v>
      </c>
      <c r="D60" s="12">
        <f>SUM(B60:C60)</f>
        <v>4</v>
      </c>
      <c r="E60" s="11">
        <v>1</v>
      </c>
      <c r="F60" s="12">
        <v>4</v>
      </c>
      <c r="G60" s="12">
        <f>SUM(E60:F60)</f>
        <v>5</v>
      </c>
      <c r="H60" s="11">
        <v>1</v>
      </c>
      <c r="I60" s="12">
        <v>4</v>
      </c>
      <c r="J60" s="12">
        <f>SUM(H60:I60)</f>
        <v>5</v>
      </c>
      <c r="K60" s="11">
        <v>0</v>
      </c>
      <c r="L60" s="12">
        <v>5</v>
      </c>
      <c r="M60" s="12">
        <f>SUM(K60:L60)</f>
        <v>5</v>
      </c>
      <c r="N60" s="11">
        <f t="shared" si="18"/>
        <v>1</v>
      </c>
      <c r="O60" s="12">
        <f t="shared" si="18"/>
        <v>8</v>
      </c>
      <c r="P60" s="12">
        <f>SUM(N60:O60)</f>
        <v>9</v>
      </c>
      <c r="Q60" s="11">
        <f t="shared" si="19"/>
        <v>1</v>
      </c>
      <c r="R60" s="12">
        <f t="shared" si="19"/>
        <v>9</v>
      </c>
      <c r="S60" s="12">
        <f>SUM(Q60:R60)</f>
        <v>10</v>
      </c>
      <c r="U60"/>
      <c r="V60"/>
    </row>
    <row r="61" spans="1:22" ht="12.75">
      <c r="A61" s="2" t="s">
        <v>9</v>
      </c>
      <c r="B61" s="11">
        <v>0</v>
      </c>
      <c r="C61" s="18">
        <v>0</v>
      </c>
      <c r="D61" s="12">
        <f>SUM(B61:C61)</f>
        <v>0</v>
      </c>
      <c r="E61" s="11">
        <v>0</v>
      </c>
      <c r="F61" s="18">
        <v>1</v>
      </c>
      <c r="G61" s="12">
        <f>SUM(E61:F61)</f>
        <v>1</v>
      </c>
      <c r="H61" s="11">
        <v>1</v>
      </c>
      <c r="I61" s="12">
        <v>2</v>
      </c>
      <c r="J61" s="12">
        <f>SUM(H61:I61)</f>
        <v>3</v>
      </c>
      <c r="K61" s="11">
        <v>0</v>
      </c>
      <c r="L61" s="12">
        <v>1</v>
      </c>
      <c r="M61" s="12">
        <f>SUM(K61:L61)</f>
        <v>1</v>
      </c>
      <c r="N61" s="11">
        <f t="shared" si="18"/>
        <v>1</v>
      </c>
      <c r="O61" s="12">
        <f t="shared" si="18"/>
        <v>2</v>
      </c>
      <c r="P61" s="12">
        <f>SUM(N61:O61)</f>
        <v>3</v>
      </c>
      <c r="Q61" s="11">
        <f t="shared" si="19"/>
        <v>0</v>
      </c>
      <c r="R61" s="12">
        <f t="shared" si="19"/>
        <v>2</v>
      </c>
      <c r="S61" s="12">
        <f>SUM(Q61:R61)</f>
        <v>2</v>
      </c>
      <c r="U61"/>
      <c r="V61"/>
    </row>
    <row r="62" spans="1:22" ht="12.75">
      <c r="A62" s="2" t="s">
        <v>10</v>
      </c>
      <c r="B62" s="11">
        <v>0</v>
      </c>
      <c r="C62" s="12">
        <v>4</v>
      </c>
      <c r="D62" s="12">
        <f>SUM(B62:C62)</f>
        <v>4</v>
      </c>
      <c r="E62" s="11">
        <v>0</v>
      </c>
      <c r="F62" s="18">
        <v>1</v>
      </c>
      <c r="G62" s="12">
        <f>SUM(E62:F62)</f>
        <v>1</v>
      </c>
      <c r="H62" s="11">
        <v>0</v>
      </c>
      <c r="I62" s="12">
        <v>3</v>
      </c>
      <c r="J62" s="12">
        <f>SUM(H62:I62)</f>
        <v>3</v>
      </c>
      <c r="K62" s="11">
        <v>0</v>
      </c>
      <c r="L62" s="12">
        <v>3</v>
      </c>
      <c r="M62" s="12">
        <f>SUM(K62:L62)</f>
        <v>3</v>
      </c>
      <c r="N62" s="11">
        <f t="shared" si="18"/>
        <v>0</v>
      </c>
      <c r="O62" s="12">
        <f t="shared" si="18"/>
        <v>7</v>
      </c>
      <c r="P62" s="12">
        <f>SUM(N62:O62)</f>
        <v>7</v>
      </c>
      <c r="Q62" s="11">
        <f t="shared" si="19"/>
        <v>0</v>
      </c>
      <c r="R62" s="12">
        <f t="shared" si="19"/>
        <v>4</v>
      </c>
      <c r="S62" s="12">
        <f>SUM(Q62:R62)</f>
        <v>4</v>
      </c>
      <c r="U62"/>
      <c r="V62"/>
    </row>
    <row r="63" spans="1:22" ht="12.75">
      <c r="A63" s="19" t="s">
        <v>4</v>
      </c>
      <c r="B63" s="70">
        <f aca="true" t="shared" si="20" ref="B63:S63">SUM(B59:B62)</f>
        <v>1</v>
      </c>
      <c r="C63" s="71">
        <f t="shared" si="20"/>
        <v>14</v>
      </c>
      <c r="D63" s="71">
        <f t="shared" si="20"/>
        <v>15</v>
      </c>
      <c r="E63" s="70">
        <f t="shared" si="20"/>
        <v>1</v>
      </c>
      <c r="F63" s="71">
        <f t="shared" si="20"/>
        <v>7</v>
      </c>
      <c r="G63" s="71">
        <f t="shared" si="20"/>
        <v>8</v>
      </c>
      <c r="H63" s="70">
        <f t="shared" si="20"/>
        <v>2</v>
      </c>
      <c r="I63" s="71">
        <f t="shared" si="20"/>
        <v>12</v>
      </c>
      <c r="J63" s="71">
        <f t="shared" si="20"/>
        <v>14</v>
      </c>
      <c r="K63" s="70">
        <f t="shared" si="20"/>
        <v>1</v>
      </c>
      <c r="L63" s="71">
        <f t="shared" si="20"/>
        <v>9</v>
      </c>
      <c r="M63" s="71">
        <f t="shared" si="20"/>
        <v>10</v>
      </c>
      <c r="N63" s="70">
        <f t="shared" si="20"/>
        <v>3</v>
      </c>
      <c r="O63" s="71">
        <f t="shared" si="20"/>
        <v>26</v>
      </c>
      <c r="P63" s="71">
        <f t="shared" si="20"/>
        <v>29</v>
      </c>
      <c r="Q63" s="70">
        <f t="shared" si="20"/>
        <v>2</v>
      </c>
      <c r="R63" s="71">
        <f t="shared" si="20"/>
        <v>16</v>
      </c>
      <c r="S63" s="71">
        <f t="shared" si="20"/>
        <v>18</v>
      </c>
      <c r="U63"/>
      <c r="V63"/>
    </row>
    <row r="64" spans="1:22" ht="12.75">
      <c r="A64" s="2"/>
      <c r="B64" s="11"/>
      <c r="C64" s="12"/>
      <c r="D64" s="12"/>
      <c r="E64" s="11"/>
      <c r="F64" s="12"/>
      <c r="G64" s="12"/>
      <c r="H64" s="11"/>
      <c r="I64" s="12"/>
      <c r="J64" s="12"/>
      <c r="K64" s="11"/>
      <c r="L64" s="12"/>
      <c r="M64" s="12"/>
      <c r="N64" s="11"/>
      <c r="O64" s="12"/>
      <c r="P64" s="12"/>
      <c r="Q64" s="11"/>
      <c r="R64" s="12"/>
      <c r="S64" s="12"/>
      <c r="U64"/>
      <c r="V64"/>
    </row>
    <row r="65" spans="1:22" ht="12.75">
      <c r="A65" s="1" t="s">
        <v>15</v>
      </c>
      <c r="B65" s="11"/>
      <c r="C65" s="12"/>
      <c r="D65" s="12"/>
      <c r="E65" s="11"/>
      <c r="F65" s="12"/>
      <c r="G65" s="12"/>
      <c r="H65" s="11"/>
      <c r="I65" s="12"/>
      <c r="J65" s="12"/>
      <c r="K65" s="11"/>
      <c r="L65" s="12"/>
      <c r="M65" s="12"/>
      <c r="N65" s="11"/>
      <c r="O65" s="12"/>
      <c r="P65" s="12"/>
      <c r="Q65" s="11"/>
      <c r="R65" s="12"/>
      <c r="S65" s="12"/>
      <c r="U65"/>
      <c r="V65"/>
    </row>
    <row r="66" spans="1:22" ht="12.75">
      <c r="A66" s="2" t="s">
        <v>42</v>
      </c>
      <c r="B66" s="11">
        <v>7</v>
      </c>
      <c r="C66" s="18">
        <v>5</v>
      </c>
      <c r="D66" s="12">
        <f>SUM(B66:C66)</f>
        <v>12</v>
      </c>
      <c r="E66" s="11">
        <v>1</v>
      </c>
      <c r="F66" s="12">
        <v>0</v>
      </c>
      <c r="G66" s="12">
        <f>SUM(E66:F66)</f>
        <v>1</v>
      </c>
      <c r="H66" s="11">
        <v>5</v>
      </c>
      <c r="I66" s="12">
        <v>10</v>
      </c>
      <c r="J66" s="12">
        <f>SUM(H66:I66)</f>
        <v>15</v>
      </c>
      <c r="K66" s="11">
        <v>3</v>
      </c>
      <c r="L66" s="12">
        <v>5</v>
      </c>
      <c r="M66" s="12">
        <f>SUM(K66:L66)</f>
        <v>8</v>
      </c>
      <c r="N66" s="11">
        <f aca="true" t="shared" si="21" ref="N66:O69">SUM(B66,H66)</f>
        <v>12</v>
      </c>
      <c r="O66" s="12">
        <f t="shared" si="21"/>
        <v>15</v>
      </c>
      <c r="P66" s="12">
        <f>SUM(N66:O66)</f>
        <v>27</v>
      </c>
      <c r="Q66" s="11">
        <f aca="true" t="shared" si="22" ref="Q66:R69">SUM(E66,K66)</f>
        <v>4</v>
      </c>
      <c r="R66" s="12">
        <f t="shared" si="22"/>
        <v>5</v>
      </c>
      <c r="S66" s="12">
        <f>SUM(Q66:R66)</f>
        <v>9</v>
      </c>
      <c r="U66"/>
      <c r="V66"/>
    </row>
    <row r="67" spans="1:22" ht="12.75">
      <c r="A67" s="2" t="s">
        <v>8</v>
      </c>
      <c r="B67" s="11">
        <v>0</v>
      </c>
      <c r="C67" s="12">
        <v>1</v>
      </c>
      <c r="D67" s="12">
        <f>SUM(B67:C67)</f>
        <v>1</v>
      </c>
      <c r="E67" s="11">
        <v>0</v>
      </c>
      <c r="F67" s="12">
        <v>0</v>
      </c>
      <c r="G67" s="12">
        <f>SUM(E67:F67)</f>
        <v>0</v>
      </c>
      <c r="H67" s="11">
        <v>0</v>
      </c>
      <c r="I67" s="12">
        <v>2</v>
      </c>
      <c r="J67" s="12">
        <f>SUM(H67:I67)</f>
        <v>2</v>
      </c>
      <c r="K67" s="11">
        <v>2</v>
      </c>
      <c r="L67" s="12">
        <v>1</v>
      </c>
      <c r="M67" s="12">
        <f>SUM(K67:L67)</f>
        <v>3</v>
      </c>
      <c r="N67" s="11">
        <f t="shared" si="21"/>
        <v>0</v>
      </c>
      <c r="O67" s="12">
        <f t="shared" si="21"/>
        <v>3</v>
      </c>
      <c r="P67" s="12">
        <f>SUM(N67:O67)</f>
        <v>3</v>
      </c>
      <c r="Q67" s="11">
        <f t="shared" si="22"/>
        <v>2</v>
      </c>
      <c r="R67" s="12">
        <f t="shared" si="22"/>
        <v>1</v>
      </c>
      <c r="S67" s="12">
        <f>SUM(Q67:R67)</f>
        <v>3</v>
      </c>
      <c r="U67"/>
      <c r="V67"/>
    </row>
    <row r="68" spans="1:22" ht="12.75">
      <c r="A68" s="2" t="s">
        <v>9</v>
      </c>
      <c r="B68" s="11">
        <v>0</v>
      </c>
      <c r="C68" s="12">
        <v>0</v>
      </c>
      <c r="D68" s="12">
        <f>SUM(B68:C68)</f>
        <v>0</v>
      </c>
      <c r="E68" s="13">
        <v>0</v>
      </c>
      <c r="F68" s="12">
        <v>0</v>
      </c>
      <c r="G68" s="12">
        <f>SUM(E68:F68)</f>
        <v>0</v>
      </c>
      <c r="H68" s="11">
        <v>0</v>
      </c>
      <c r="I68" s="12">
        <v>0</v>
      </c>
      <c r="J68" s="12">
        <f>SUM(H68:I68)</f>
        <v>0</v>
      </c>
      <c r="K68" s="11">
        <v>0</v>
      </c>
      <c r="L68" s="12">
        <v>0</v>
      </c>
      <c r="M68" s="12">
        <f>SUM(K68:L68)</f>
        <v>0</v>
      </c>
      <c r="N68" s="11">
        <f t="shared" si="21"/>
        <v>0</v>
      </c>
      <c r="O68" s="12">
        <f t="shared" si="21"/>
        <v>0</v>
      </c>
      <c r="P68" s="12">
        <f>SUM(N68:O68)</f>
        <v>0</v>
      </c>
      <c r="Q68" s="11">
        <f t="shared" si="22"/>
        <v>0</v>
      </c>
      <c r="R68" s="12">
        <f t="shared" si="22"/>
        <v>0</v>
      </c>
      <c r="S68" s="12">
        <f>SUM(Q68:R68)</f>
        <v>0</v>
      </c>
      <c r="U68"/>
      <c r="V68"/>
    </row>
    <row r="69" spans="1:22" ht="12.75">
      <c r="A69" s="2" t="s">
        <v>10</v>
      </c>
      <c r="B69" s="11">
        <v>19</v>
      </c>
      <c r="C69" s="12">
        <v>42</v>
      </c>
      <c r="D69" s="12">
        <f>SUM(B69:C69)</f>
        <v>61</v>
      </c>
      <c r="E69" s="254">
        <v>5</v>
      </c>
      <c r="F69" s="254">
        <v>8</v>
      </c>
      <c r="G69" s="12">
        <f>SUM(E69:F69)</f>
        <v>13</v>
      </c>
      <c r="H69" s="11">
        <v>14</v>
      </c>
      <c r="I69" s="12">
        <v>109</v>
      </c>
      <c r="J69" s="12">
        <f>SUM(H69:I69)</f>
        <v>123</v>
      </c>
      <c r="K69" s="11">
        <v>22</v>
      </c>
      <c r="L69" s="12">
        <v>76</v>
      </c>
      <c r="M69" s="12">
        <f>SUM(K69:L69)</f>
        <v>98</v>
      </c>
      <c r="N69" s="11">
        <f t="shared" si="21"/>
        <v>33</v>
      </c>
      <c r="O69" s="12">
        <f t="shared" si="21"/>
        <v>151</v>
      </c>
      <c r="P69" s="12">
        <f>SUM(N69:O69)</f>
        <v>184</v>
      </c>
      <c r="Q69" s="11">
        <f t="shared" si="22"/>
        <v>27</v>
      </c>
      <c r="R69" s="12">
        <f t="shared" si="22"/>
        <v>84</v>
      </c>
      <c r="S69" s="12">
        <f>SUM(Q69:R69)</f>
        <v>111</v>
      </c>
      <c r="U69"/>
      <c r="V69"/>
    </row>
    <row r="70" spans="1:22" ht="12.75">
      <c r="A70" s="19" t="s">
        <v>4</v>
      </c>
      <c r="B70" s="70">
        <f aca="true" t="shared" si="23" ref="B70:S70">SUM(B66:B69)</f>
        <v>26</v>
      </c>
      <c r="C70" s="71">
        <f t="shared" si="23"/>
        <v>48</v>
      </c>
      <c r="D70" s="71">
        <f t="shared" si="23"/>
        <v>74</v>
      </c>
      <c r="E70" s="70">
        <f t="shared" si="23"/>
        <v>6</v>
      </c>
      <c r="F70" s="71">
        <f t="shared" si="23"/>
        <v>8</v>
      </c>
      <c r="G70" s="71">
        <f t="shared" si="23"/>
        <v>14</v>
      </c>
      <c r="H70" s="70">
        <f t="shared" si="23"/>
        <v>19</v>
      </c>
      <c r="I70" s="71">
        <f t="shared" si="23"/>
        <v>121</v>
      </c>
      <c r="J70" s="71">
        <f t="shared" si="23"/>
        <v>140</v>
      </c>
      <c r="K70" s="70">
        <f t="shared" si="23"/>
        <v>27</v>
      </c>
      <c r="L70" s="71">
        <f t="shared" si="23"/>
        <v>82</v>
      </c>
      <c r="M70" s="71">
        <f t="shared" si="23"/>
        <v>109</v>
      </c>
      <c r="N70" s="70">
        <f t="shared" si="23"/>
        <v>45</v>
      </c>
      <c r="O70" s="71">
        <f t="shared" si="23"/>
        <v>169</v>
      </c>
      <c r="P70" s="71">
        <f t="shared" si="23"/>
        <v>214</v>
      </c>
      <c r="Q70" s="70">
        <f t="shared" si="23"/>
        <v>33</v>
      </c>
      <c r="R70" s="71">
        <f t="shared" si="23"/>
        <v>90</v>
      </c>
      <c r="S70" s="71">
        <f t="shared" si="23"/>
        <v>123</v>
      </c>
      <c r="U70"/>
      <c r="V70"/>
    </row>
    <row r="71" spans="1:22" ht="12.75">
      <c r="A71" s="2"/>
      <c r="B71" s="11"/>
      <c r="C71" s="12"/>
      <c r="D71" s="12"/>
      <c r="E71" s="11"/>
      <c r="F71" s="12"/>
      <c r="G71" s="12"/>
      <c r="H71" s="11"/>
      <c r="I71" s="12"/>
      <c r="J71" s="12"/>
      <c r="K71" s="11"/>
      <c r="L71" s="12"/>
      <c r="M71" s="12"/>
      <c r="N71" s="11"/>
      <c r="O71" s="12"/>
      <c r="P71" s="12"/>
      <c r="Q71" s="11"/>
      <c r="R71" s="12"/>
      <c r="S71" s="12"/>
      <c r="U71"/>
      <c r="V71"/>
    </row>
    <row r="72" spans="1:22" ht="12.75">
      <c r="A72" s="1" t="s">
        <v>41</v>
      </c>
      <c r="B72" s="11"/>
      <c r="C72" s="12"/>
      <c r="D72" s="12"/>
      <c r="E72" s="11"/>
      <c r="F72" s="12"/>
      <c r="G72" s="12"/>
      <c r="H72" s="11"/>
      <c r="I72" s="12"/>
      <c r="J72" s="12"/>
      <c r="K72" s="11"/>
      <c r="L72" s="12"/>
      <c r="M72" s="12"/>
      <c r="N72" s="11"/>
      <c r="O72" s="12"/>
      <c r="P72" s="12"/>
      <c r="Q72" s="11"/>
      <c r="R72" s="12"/>
      <c r="S72" s="12"/>
      <c r="U72"/>
      <c r="V72"/>
    </row>
    <row r="73" spans="1:22" ht="12.75">
      <c r="A73" s="2" t="s">
        <v>42</v>
      </c>
      <c r="B73" s="13">
        <v>283</v>
      </c>
      <c r="C73" s="18">
        <v>741</v>
      </c>
      <c r="D73" s="18">
        <f>SUM(B73:C73)</f>
        <v>1024</v>
      </c>
      <c r="E73" s="11">
        <v>95</v>
      </c>
      <c r="F73" s="18">
        <v>343</v>
      </c>
      <c r="G73" s="12">
        <f>SUM(E73:F73)</f>
        <v>438</v>
      </c>
      <c r="H73" s="11">
        <v>58</v>
      </c>
      <c r="I73" s="12">
        <v>538</v>
      </c>
      <c r="J73" s="12">
        <f>SUM(H73:I73)</f>
        <v>596</v>
      </c>
      <c r="K73" s="11">
        <v>45</v>
      </c>
      <c r="L73" s="12">
        <v>371</v>
      </c>
      <c r="M73" s="12">
        <f>SUM(K73:L73)</f>
        <v>416</v>
      </c>
      <c r="N73" s="11">
        <f aca="true" t="shared" si="24" ref="N73:O77">SUM(B73,H73)</f>
        <v>341</v>
      </c>
      <c r="O73" s="12">
        <f t="shared" si="24"/>
        <v>1279</v>
      </c>
      <c r="P73" s="12">
        <f>SUM(N73:O73)</f>
        <v>1620</v>
      </c>
      <c r="Q73" s="11">
        <f aca="true" t="shared" si="25" ref="Q73:R77">SUM(E73,K73)</f>
        <v>140</v>
      </c>
      <c r="R73" s="12">
        <f t="shared" si="25"/>
        <v>714</v>
      </c>
      <c r="S73" s="12">
        <f>SUM(Q73:R73)</f>
        <v>854</v>
      </c>
      <c r="U73"/>
      <c r="V73"/>
    </row>
    <row r="74" spans="1:22" ht="12.75">
      <c r="A74" s="2" t="s">
        <v>8</v>
      </c>
      <c r="B74" s="11">
        <v>336</v>
      </c>
      <c r="C74" s="12">
        <v>583</v>
      </c>
      <c r="D74" s="12">
        <f>SUM(B74:C74)</f>
        <v>919</v>
      </c>
      <c r="E74" s="11">
        <v>47</v>
      </c>
      <c r="F74" s="12">
        <v>232</v>
      </c>
      <c r="G74" s="12">
        <f>SUM(E74:F74)</f>
        <v>279</v>
      </c>
      <c r="H74" s="11">
        <v>95</v>
      </c>
      <c r="I74" s="12">
        <v>1207</v>
      </c>
      <c r="J74" s="12">
        <f>SUM(H74:I74)</f>
        <v>1302</v>
      </c>
      <c r="K74" s="11">
        <v>65</v>
      </c>
      <c r="L74" s="12">
        <v>479</v>
      </c>
      <c r="M74" s="12">
        <f>SUM(K74:L74)</f>
        <v>544</v>
      </c>
      <c r="N74" s="11">
        <f t="shared" si="24"/>
        <v>431</v>
      </c>
      <c r="O74" s="12">
        <f t="shared" si="24"/>
        <v>1790</v>
      </c>
      <c r="P74" s="12">
        <f>SUM(N74:O74)</f>
        <v>2221</v>
      </c>
      <c r="Q74" s="11">
        <f t="shared" si="25"/>
        <v>112</v>
      </c>
      <c r="R74" s="12">
        <f t="shared" si="25"/>
        <v>711</v>
      </c>
      <c r="S74" s="12">
        <f>SUM(Q74:R74)</f>
        <v>823</v>
      </c>
      <c r="U74"/>
      <c r="V74"/>
    </row>
    <row r="75" spans="1:22" ht="12.75">
      <c r="A75" s="2" t="s">
        <v>9</v>
      </c>
      <c r="B75" s="11">
        <v>9</v>
      </c>
      <c r="C75" s="18">
        <v>12</v>
      </c>
      <c r="D75" s="12">
        <f>SUM(B75:C75)</f>
        <v>21</v>
      </c>
      <c r="E75" s="11">
        <v>3</v>
      </c>
      <c r="F75" s="18">
        <v>13</v>
      </c>
      <c r="G75" s="12">
        <f>SUM(E75:F75)</f>
        <v>16</v>
      </c>
      <c r="H75" s="11">
        <v>2</v>
      </c>
      <c r="I75" s="12">
        <v>31</v>
      </c>
      <c r="J75" s="12">
        <f>SUM(H75:I75)</f>
        <v>33</v>
      </c>
      <c r="K75" s="11">
        <v>2</v>
      </c>
      <c r="L75" s="12">
        <v>11</v>
      </c>
      <c r="M75" s="12">
        <f>SUM(K75:L75)</f>
        <v>13</v>
      </c>
      <c r="N75" s="11">
        <f t="shared" si="24"/>
        <v>11</v>
      </c>
      <c r="O75" s="12">
        <f t="shared" si="24"/>
        <v>43</v>
      </c>
      <c r="P75" s="12">
        <f>SUM(N75:O75)</f>
        <v>54</v>
      </c>
      <c r="Q75" s="11">
        <f t="shared" si="25"/>
        <v>5</v>
      </c>
      <c r="R75" s="12">
        <f t="shared" si="25"/>
        <v>24</v>
      </c>
      <c r="S75" s="12">
        <f>SUM(Q75:R75)</f>
        <v>29</v>
      </c>
      <c r="U75"/>
      <c r="V75"/>
    </row>
    <row r="76" spans="1:22" ht="12.75">
      <c r="A76" s="2" t="s">
        <v>10</v>
      </c>
      <c r="B76" s="11">
        <f>35+0</f>
        <v>35</v>
      </c>
      <c r="C76" s="12">
        <f>36+7</f>
        <v>43</v>
      </c>
      <c r="D76" s="12">
        <f>SUM(B76:C76)</f>
        <v>78</v>
      </c>
      <c r="E76" s="11">
        <f>10+2</f>
        <v>12</v>
      </c>
      <c r="F76" s="18">
        <f>24+13</f>
        <v>37</v>
      </c>
      <c r="G76" s="12">
        <f>SUM(E76:F76)</f>
        <v>49</v>
      </c>
      <c r="H76" s="11">
        <f>16+1</f>
        <v>17</v>
      </c>
      <c r="I76" s="12">
        <f>65+35</f>
        <v>100</v>
      </c>
      <c r="J76" s="12">
        <f>SUM(H76:I76)</f>
        <v>117</v>
      </c>
      <c r="K76" s="11">
        <f>3+0</f>
        <v>3</v>
      </c>
      <c r="L76" s="12">
        <f>47+24</f>
        <v>71</v>
      </c>
      <c r="M76" s="12">
        <f>SUM(K76:L76)</f>
        <v>74</v>
      </c>
      <c r="N76" s="11">
        <f t="shared" si="24"/>
        <v>52</v>
      </c>
      <c r="O76" s="12">
        <f t="shared" si="24"/>
        <v>143</v>
      </c>
      <c r="P76" s="12">
        <f>SUM(N76:O76)</f>
        <v>195</v>
      </c>
      <c r="Q76" s="11">
        <f t="shared" si="25"/>
        <v>15</v>
      </c>
      <c r="R76" s="12">
        <f t="shared" si="25"/>
        <v>108</v>
      </c>
      <c r="S76" s="12">
        <f>SUM(Q76:R76)</f>
        <v>123</v>
      </c>
      <c r="U76"/>
      <c r="V76"/>
    </row>
    <row r="77" spans="1:22" ht="12.75">
      <c r="A77" s="2" t="s">
        <v>16</v>
      </c>
      <c r="B77" s="11">
        <v>78</v>
      </c>
      <c r="C77" s="12">
        <v>70</v>
      </c>
      <c r="D77" s="12">
        <f>SUM(B77:C77)</f>
        <v>148</v>
      </c>
      <c r="E77" s="11">
        <v>69</v>
      </c>
      <c r="F77" s="18">
        <v>76</v>
      </c>
      <c r="G77" s="12">
        <f>SUM(E77:F77)</f>
        <v>145</v>
      </c>
      <c r="H77" s="11">
        <v>9</v>
      </c>
      <c r="I77" s="12">
        <v>7</v>
      </c>
      <c r="J77" s="12">
        <f>SUM(H77:I77)</f>
        <v>16</v>
      </c>
      <c r="K77" s="11">
        <f>8</f>
        <v>8</v>
      </c>
      <c r="L77" s="12">
        <f>12</f>
        <v>12</v>
      </c>
      <c r="M77" s="12">
        <f>SUM(K77:L77)</f>
        <v>20</v>
      </c>
      <c r="N77" s="11">
        <f t="shared" si="24"/>
        <v>87</v>
      </c>
      <c r="O77" s="12">
        <f t="shared" si="24"/>
        <v>77</v>
      </c>
      <c r="P77" s="12">
        <f>SUM(N77:O77)</f>
        <v>164</v>
      </c>
      <c r="Q77" s="11">
        <f t="shared" si="25"/>
        <v>77</v>
      </c>
      <c r="R77" s="12">
        <f t="shared" si="25"/>
        <v>88</v>
      </c>
      <c r="S77" s="12">
        <f>SUM(Q77:R77)</f>
        <v>165</v>
      </c>
      <c r="U77"/>
      <c r="V77"/>
    </row>
    <row r="78" spans="1:22" ht="12.75">
      <c r="A78" s="19" t="s">
        <v>4</v>
      </c>
      <c r="B78" s="70">
        <f>SUM(B73:B77)</f>
        <v>741</v>
      </c>
      <c r="C78" s="71">
        <f aca="true" t="shared" si="26" ref="C78:S78">SUM(C73:C77)</f>
        <v>1449</v>
      </c>
      <c r="D78" s="71">
        <f t="shared" si="26"/>
        <v>2190</v>
      </c>
      <c r="E78" s="70">
        <f t="shared" si="26"/>
        <v>226</v>
      </c>
      <c r="F78" s="71">
        <f t="shared" si="26"/>
        <v>701</v>
      </c>
      <c r="G78" s="71">
        <f t="shared" si="26"/>
        <v>927</v>
      </c>
      <c r="H78" s="70">
        <f t="shared" si="26"/>
        <v>181</v>
      </c>
      <c r="I78" s="71">
        <f t="shared" si="26"/>
        <v>1883</v>
      </c>
      <c r="J78" s="71">
        <f t="shared" si="26"/>
        <v>2064</v>
      </c>
      <c r="K78" s="70">
        <f t="shared" si="26"/>
        <v>123</v>
      </c>
      <c r="L78" s="71">
        <f t="shared" si="26"/>
        <v>944</v>
      </c>
      <c r="M78" s="71">
        <f t="shared" si="26"/>
        <v>1067</v>
      </c>
      <c r="N78" s="70">
        <f t="shared" si="26"/>
        <v>922</v>
      </c>
      <c r="O78" s="71">
        <f t="shared" si="26"/>
        <v>3332</v>
      </c>
      <c r="P78" s="71">
        <f t="shared" si="26"/>
        <v>4254</v>
      </c>
      <c r="Q78" s="70">
        <f t="shared" si="26"/>
        <v>349</v>
      </c>
      <c r="R78" s="71">
        <f t="shared" si="26"/>
        <v>1645</v>
      </c>
      <c r="S78" s="71">
        <f t="shared" si="26"/>
        <v>1994</v>
      </c>
      <c r="U78"/>
      <c r="V78"/>
    </row>
    <row r="79" spans="1:22" ht="12.75">
      <c r="A79" s="19"/>
      <c r="B79" s="23"/>
      <c r="C79" s="24"/>
      <c r="D79" s="24"/>
      <c r="E79" s="23"/>
      <c r="F79" s="24"/>
      <c r="G79" s="24"/>
      <c r="H79" s="23"/>
      <c r="I79" s="24"/>
      <c r="J79" s="24"/>
      <c r="K79" s="23"/>
      <c r="L79" s="24"/>
      <c r="M79" s="24"/>
      <c r="N79" s="23"/>
      <c r="O79" s="24"/>
      <c r="P79" s="24"/>
      <c r="Q79" s="23"/>
      <c r="R79" s="24"/>
      <c r="S79" s="24"/>
      <c r="U79"/>
      <c r="V79"/>
    </row>
    <row r="80" spans="1:22" s="93" customFormat="1" ht="13.5" customHeight="1">
      <c r="A80" s="200" t="s">
        <v>65</v>
      </c>
      <c r="B80" s="84"/>
      <c r="C80" s="201"/>
      <c r="D80" s="201"/>
      <c r="E80" s="84"/>
      <c r="F80" s="201"/>
      <c r="G80" s="201"/>
      <c r="H80" s="84"/>
      <c r="I80" s="201"/>
      <c r="J80" s="201"/>
      <c r="K80" s="84"/>
      <c r="L80" s="201"/>
      <c r="M80" s="201"/>
      <c r="N80" s="84"/>
      <c r="O80" s="201"/>
      <c r="P80" s="201"/>
      <c r="Q80" s="84"/>
      <c r="R80" s="201"/>
      <c r="S80" s="201"/>
      <c r="U80"/>
      <c r="V80"/>
    </row>
    <row r="81" spans="1:22" s="93" customFormat="1" ht="12.75">
      <c r="A81" s="253" t="s">
        <v>168</v>
      </c>
      <c r="B81" s="91">
        <f>SUM(B78,B70,B63,B56,B46,B43,B36,B29,B22,B15,B49)</f>
        <v>2738</v>
      </c>
      <c r="C81" s="92">
        <f aca="true" t="shared" si="27" ref="C81:S81">SUM(C78,C70,C63,C56,C46,C43,C36,C29,C22,C15,C49)</f>
        <v>6936</v>
      </c>
      <c r="D81" s="161">
        <f t="shared" si="27"/>
        <v>9674</v>
      </c>
      <c r="E81" s="91">
        <f t="shared" si="27"/>
        <v>1024</v>
      </c>
      <c r="F81" s="92">
        <f t="shared" si="27"/>
        <v>2840</v>
      </c>
      <c r="G81" s="161">
        <f t="shared" si="27"/>
        <v>3864</v>
      </c>
      <c r="H81" s="91">
        <f t="shared" si="27"/>
        <v>804</v>
      </c>
      <c r="I81" s="92">
        <f t="shared" si="27"/>
        <v>8731</v>
      </c>
      <c r="J81" s="161">
        <f t="shared" si="27"/>
        <v>9535</v>
      </c>
      <c r="K81" s="91">
        <f t="shared" si="27"/>
        <v>738</v>
      </c>
      <c r="L81" s="92">
        <f t="shared" si="27"/>
        <v>4287</v>
      </c>
      <c r="M81" s="161">
        <f t="shared" si="27"/>
        <v>5025</v>
      </c>
      <c r="N81" s="91">
        <f t="shared" si="27"/>
        <v>3542</v>
      </c>
      <c r="O81" s="92">
        <f t="shared" si="27"/>
        <v>15667</v>
      </c>
      <c r="P81" s="161">
        <f t="shared" si="27"/>
        <v>19209</v>
      </c>
      <c r="Q81" s="91">
        <f t="shared" si="27"/>
        <v>1762</v>
      </c>
      <c r="R81" s="92">
        <f t="shared" si="27"/>
        <v>7127</v>
      </c>
      <c r="S81" s="92">
        <f t="shared" si="27"/>
        <v>8889</v>
      </c>
      <c r="U81"/>
      <c r="V81"/>
    </row>
    <row r="82" spans="2:19" ht="12.75">
      <c r="B82" s="12"/>
      <c r="C82" s="12"/>
      <c r="D82" s="12"/>
      <c r="E82" s="12"/>
      <c r="F82" s="12"/>
      <c r="G82" s="12"/>
      <c r="H82" s="12"/>
      <c r="I82" s="12"/>
      <c r="J82" s="12"/>
      <c r="K82" s="12"/>
      <c r="L82" s="12"/>
      <c r="M82" s="12"/>
      <c r="N82" s="12"/>
      <c r="O82" s="12"/>
      <c r="P82" s="12"/>
      <c r="Q82" s="12"/>
      <c r="R82" s="12"/>
      <c r="S82" s="12"/>
    </row>
    <row r="83" spans="1:19" ht="12.75">
      <c r="A83" s="184" t="s">
        <v>64</v>
      </c>
      <c r="B83" s="12"/>
      <c r="C83" s="12"/>
      <c r="D83" s="12"/>
      <c r="E83" s="12"/>
      <c r="F83" s="12"/>
      <c r="G83" s="12"/>
      <c r="H83" s="12"/>
      <c r="I83" s="12"/>
      <c r="J83" s="12"/>
      <c r="K83" s="12"/>
      <c r="L83" s="12"/>
      <c r="M83" s="12"/>
      <c r="N83" s="12"/>
      <c r="O83" s="12"/>
      <c r="P83" s="12"/>
      <c r="Q83" s="12"/>
      <c r="R83" s="12"/>
      <c r="S83" s="12"/>
    </row>
    <row r="84" spans="1:19" ht="12.75">
      <c r="A84" s="4" t="s">
        <v>21</v>
      </c>
      <c r="B84" s="12"/>
      <c r="C84" s="12"/>
      <c r="D84" s="12"/>
      <c r="E84" s="12"/>
      <c r="F84" s="12"/>
      <c r="G84" s="12"/>
      <c r="H84" s="12"/>
      <c r="I84" s="12"/>
      <c r="J84" s="12"/>
      <c r="K84" s="12"/>
      <c r="L84" s="12"/>
      <c r="M84" s="12"/>
      <c r="N84" s="12"/>
      <c r="O84" s="12"/>
      <c r="P84" s="12"/>
      <c r="Q84" s="12"/>
      <c r="R84" s="12"/>
      <c r="S84" s="12"/>
    </row>
    <row r="85" spans="1:19" ht="12.75">
      <c r="A85" s="216"/>
      <c r="B85" s="12"/>
      <c r="C85" s="12"/>
      <c r="D85" s="12"/>
      <c r="E85" s="12"/>
      <c r="F85" s="12"/>
      <c r="G85" s="12"/>
      <c r="H85" s="12"/>
      <c r="I85" s="12"/>
      <c r="J85" s="12"/>
      <c r="K85" s="12"/>
      <c r="L85" s="12"/>
      <c r="M85" s="12"/>
      <c r="N85" s="12"/>
      <c r="O85" s="12"/>
      <c r="P85" s="12"/>
      <c r="Q85" s="12"/>
      <c r="R85" s="12"/>
      <c r="S85" s="12"/>
    </row>
    <row r="86" spans="2:19" ht="12.75">
      <c r="B86" s="12"/>
      <c r="C86" s="12"/>
      <c r="D86" s="12"/>
      <c r="E86" s="12"/>
      <c r="F86" s="12"/>
      <c r="G86" s="12"/>
      <c r="H86" s="12"/>
      <c r="I86" s="12"/>
      <c r="J86" s="12"/>
      <c r="K86" s="12"/>
      <c r="L86" s="12"/>
      <c r="M86" s="12"/>
      <c r="N86" s="12"/>
      <c r="O86" s="12"/>
      <c r="P86" s="12"/>
      <c r="Q86" s="12"/>
      <c r="R86" s="12"/>
      <c r="S86" s="12"/>
    </row>
    <row r="87" spans="2:19" ht="12.75">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row r="105" spans="2:19" ht="12.75">
      <c r="B105" s="12"/>
      <c r="C105" s="12"/>
      <c r="D105" s="12"/>
      <c r="E105" s="12"/>
      <c r="F105" s="12"/>
      <c r="G105" s="12"/>
      <c r="H105" s="12"/>
      <c r="I105" s="12"/>
      <c r="J105" s="12"/>
      <c r="K105" s="12"/>
      <c r="L105" s="12"/>
      <c r="M105" s="12"/>
      <c r="N105" s="12"/>
      <c r="O105" s="12"/>
      <c r="P105" s="12"/>
      <c r="Q105" s="12"/>
      <c r="R105" s="12"/>
      <c r="S105" s="12"/>
    </row>
    <row r="106" spans="2:19" ht="12.75">
      <c r="B106" s="12"/>
      <c r="C106" s="12"/>
      <c r="D106" s="12"/>
      <c r="E106" s="12"/>
      <c r="F106" s="12"/>
      <c r="G106" s="12"/>
      <c r="H106" s="12"/>
      <c r="I106" s="12"/>
      <c r="J106" s="12"/>
      <c r="K106" s="12"/>
      <c r="L106" s="12"/>
      <c r="M106" s="12"/>
      <c r="N106" s="12"/>
      <c r="O106" s="12"/>
      <c r="P106" s="12"/>
      <c r="Q106" s="12"/>
      <c r="R106" s="12"/>
      <c r="S106" s="12"/>
    </row>
    <row r="107" spans="2:19" ht="12.75">
      <c r="B107" s="12"/>
      <c r="C107" s="12"/>
      <c r="D107" s="12"/>
      <c r="E107" s="12"/>
      <c r="F107" s="12"/>
      <c r="G107" s="12"/>
      <c r="H107" s="12"/>
      <c r="I107" s="12"/>
      <c r="J107" s="12"/>
      <c r="K107" s="12"/>
      <c r="L107" s="12"/>
      <c r="M107" s="12"/>
      <c r="N107" s="12"/>
      <c r="O107" s="12"/>
      <c r="P107" s="12"/>
      <c r="Q107" s="12"/>
      <c r="R107" s="12"/>
      <c r="S107" s="12"/>
    </row>
    <row r="108" spans="2:19" ht="12.75">
      <c r="B108" s="12"/>
      <c r="C108" s="12"/>
      <c r="D108" s="12"/>
      <c r="E108" s="12"/>
      <c r="F108" s="12"/>
      <c r="G108" s="12"/>
      <c r="H108" s="12"/>
      <c r="I108" s="12"/>
      <c r="J108" s="12"/>
      <c r="K108" s="12"/>
      <c r="L108" s="12"/>
      <c r="M108" s="12"/>
      <c r="N108" s="12"/>
      <c r="O108" s="12"/>
      <c r="P108" s="12"/>
      <c r="Q108" s="12"/>
      <c r="R108" s="12"/>
      <c r="S108" s="12"/>
    </row>
    <row r="109" spans="2:19" ht="12.75">
      <c r="B109" s="12"/>
      <c r="C109" s="12"/>
      <c r="D109" s="12"/>
      <c r="E109" s="12"/>
      <c r="F109" s="12"/>
      <c r="G109" s="12"/>
      <c r="H109" s="12"/>
      <c r="I109" s="12"/>
      <c r="J109" s="12"/>
      <c r="K109" s="12"/>
      <c r="L109" s="12"/>
      <c r="M109" s="12"/>
      <c r="N109" s="12"/>
      <c r="O109" s="12"/>
      <c r="P109" s="12"/>
      <c r="Q109" s="12"/>
      <c r="R109" s="12"/>
      <c r="S109" s="12"/>
    </row>
    <row r="110" spans="2:19" ht="12.75">
      <c r="B110" s="12"/>
      <c r="C110" s="12"/>
      <c r="D110" s="12"/>
      <c r="E110" s="12"/>
      <c r="F110" s="12"/>
      <c r="G110" s="12"/>
      <c r="H110" s="12"/>
      <c r="I110" s="12"/>
      <c r="J110" s="12"/>
      <c r="K110" s="12"/>
      <c r="L110" s="12"/>
      <c r="M110" s="12"/>
      <c r="N110" s="12"/>
      <c r="O110" s="12"/>
      <c r="P110" s="12"/>
      <c r="Q110" s="12"/>
      <c r="R110" s="12"/>
      <c r="S110" s="12"/>
    </row>
    <row r="111" spans="2:19" ht="12.75">
      <c r="B111" s="12"/>
      <c r="C111" s="12"/>
      <c r="D111" s="12"/>
      <c r="E111" s="12"/>
      <c r="F111" s="12"/>
      <c r="G111" s="12"/>
      <c r="H111" s="12"/>
      <c r="I111" s="12"/>
      <c r="J111" s="12"/>
      <c r="K111" s="12"/>
      <c r="L111" s="12"/>
      <c r="M111" s="12"/>
      <c r="N111" s="12"/>
      <c r="O111" s="12"/>
      <c r="P111" s="12"/>
      <c r="Q111" s="12"/>
      <c r="R111" s="12"/>
      <c r="S111" s="12"/>
    </row>
    <row r="112" spans="2:19" ht="12.75">
      <c r="B112" s="12"/>
      <c r="C112" s="12"/>
      <c r="D112" s="12"/>
      <c r="E112" s="12"/>
      <c r="F112" s="12"/>
      <c r="G112" s="12"/>
      <c r="H112" s="12"/>
      <c r="I112" s="12"/>
      <c r="J112" s="12"/>
      <c r="K112" s="12"/>
      <c r="L112" s="12"/>
      <c r="M112" s="12"/>
      <c r="N112" s="12"/>
      <c r="O112" s="12"/>
      <c r="P112" s="12"/>
      <c r="Q112" s="12"/>
      <c r="R112" s="12"/>
      <c r="S112" s="12"/>
    </row>
    <row r="113" spans="2:19" ht="12.75">
      <c r="B113" s="12"/>
      <c r="C113" s="12"/>
      <c r="D113" s="12"/>
      <c r="E113" s="12"/>
      <c r="F113" s="12"/>
      <c r="G113" s="12"/>
      <c r="H113" s="12"/>
      <c r="I113" s="12"/>
      <c r="J113" s="12"/>
      <c r="K113" s="12"/>
      <c r="L113" s="12"/>
      <c r="M113" s="12"/>
      <c r="N113" s="12"/>
      <c r="O113" s="12"/>
      <c r="P113" s="12"/>
      <c r="Q113" s="12"/>
      <c r="R113" s="12"/>
      <c r="S113" s="12"/>
    </row>
    <row r="114" spans="2:19" ht="12.75">
      <c r="B114" s="12"/>
      <c r="C114" s="12"/>
      <c r="D114" s="12"/>
      <c r="E114" s="12"/>
      <c r="F114" s="12"/>
      <c r="G114" s="12"/>
      <c r="H114" s="12"/>
      <c r="I114" s="12"/>
      <c r="J114" s="12"/>
      <c r="K114" s="12"/>
      <c r="L114" s="12"/>
      <c r="M114" s="12"/>
      <c r="N114" s="12"/>
      <c r="O114" s="12"/>
      <c r="P114" s="12"/>
      <c r="Q114" s="12"/>
      <c r="R114" s="12"/>
      <c r="S114" s="12"/>
    </row>
  </sheetData>
  <sheetProtection/>
  <printOptions horizontalCentered="1"/>
  <pageMargins left="0.1968503937007874" right="0.1968503937007874" top="0.5905511811023623" bottom="0.7874015748031497" header="0.5118110236220472" footer="0.5118110236220472"/>
  <pageSetup fitToHeight="2" horizontalDpi="1200" verticalDpi="1200" orientation="landscape" paperSize="9" scale="75" r:id="rId1"/>
  <headerFooter alignWithMargins="0">
    <oddFooter>&amp;R&amp;A</oddFooter>
  </headerFooter>
  <rowBreaks count="1" manualBreakCount="1">
    <brk id="50" max="18" man="1"/>
  </rowBreaks>
</worksheet>
</file>

<file path=xl/worksheets/sheet13.xml><?xml version="1.0" encoding="utf-8"?>
<worksheet xmlns="http://schemas.openxmlformats.org/spreadsheetml/2006/main" xmlns:r="http://schemas.openxmlformats.org/officeDocument/2006/relationships">
  <sheetPr>
    <pageSetUpPr fitToPage="1"/>
  </sheetPr>
  <dimension ref="A1:V104"/>
  <sheetViews>
    <sheetView zoomScalePageLayoutView="0" workbookViewId="0" topLeftCell="A1">
      <selection activeCell="A86" sqref="A86"/>
    </sheetView>
  </sheetViews>
  <sheetFormatPr defaultColWidth="9.28125" defaultRowHeight="12.75"/>
  <cols>
    <col min="1" max="1" width="27.421875" style="4" customWidth="1"/>
    <col min="2" max="19" width="8.28125" style="4" customWidth="1"/>
    <col min="20" max="16384" width="9.28125" style="4" customWidth="1"/>
  </cols>
  <sheetData>
    <row r="1" spans="1:19" ht="12.75">
      <c r="A1" s="129" t="s">
        <v>122</v>
      </c>
      <c r="B1" s="2"/>
      <c r="C1" s="2"/>
      <c r="D1" s="2"/>
      <c r="E1" s="3"/>
      <c r="F1" s="2"/>
      <c r="G1" s="2"/>
      <c r="H1" s="2"/>
      <c r="I1" s="2"/>
      <c r="J1" s="2"/>
      <c r="K1" s="2"/>
      <c r="L1" s="2"/>
      <c r="M1" s="2"/>
      <c r="N1" s="2"/>
      <c r="O1" s="2"/>
      <c r="P1" s="2"/>
      <c r="Q1" s="2"/>
      <c r="R1" s="2"/>
      <c r="S1" s="2"/>
    </row>
    <row r="2" spans="1:19" ht="12.75">
      <c r="A2" s="5" t="s">
        <v>45</v>
      </c>
      <c r="B2" s="6"/>
      <c r="C2" s="6"/>
      <c r="D2" s="5"/>
      <c r="E2" s="128"/>
      <c r="F2" s="6"/>
      <c r="G2" s="7"/>
      <c r="H2" s="6"/>
      <c r="I2" s="7"/>
      <c r="J2" s="6"/>
      <c r="K2" s="6"/>
      <c r="L2" s="6"/>
      <c r="M2" s="6"/>
      <c r="N2" s="6"/>
      <c r="O2" s="6"/>
      <c r="P2" s="6"/>
      <c r="Q2" s="6"/>
      <c r="R2" s="6"/>
      <c r="S2" s="6"/>
    </row>
    <row r="3" spans="1:19" ht="12.75">
      <c r="A3" s="5"/>
      <c r="B3" s="6"/>
      <c r="C3" s="6"/>
      <c r="D3" s="6"/>
      <c r="E3" s="128"/>
      <c r="F3" s="5"/>
      <c r="G3" s="7"/>
      <c r="H3" s="6"/>
      <c r="I3" s="7"/>
      <c r="J3" s="6"/>
      <c r="K3" s="6"/>
      <c r="L3" s="6"/>
      <c r="M3" s="6"/>
      <c r="N3" s="6"/>
      <c r="O3" s="6"/>
      <c r="P3" s="6"/>
      <c r="Q3" s="6"/>
      <c r="R3" s="6"/>
      <c r="S3" s="6"/>
    </row>
    <row r="4" spans="1:19" ht="12.75">
      <c r="A4" s="5" t="s">
        <v>66</v>
      </c>
      <c r="B4" s="6"/>
      <c r="C4" s="6"/>
      <c r="D4" s="6"/>
      <c r="E4" s="128"/>
      <c r="F4" s="5"/>
      <c r="G4" s="7"/>
      <c r="H4" s="6"/>
      <c r="I4" s="7"/>
      <c r="J4" s="6"/>
      <c r="K4" s="6"/>
      <c r="L4" s="6"/>
      <c r="M4" s="6"/>
      <c r="N4" s="6"/>
      <c r="O4" s="6"/>
      <c r="P4" s="6"/>
      <c r="Q4" s="6"/>
      <c r="R4" s="6"/>
      <c r="S4" s="6"/>
    </row>
    <row r="5" spans="1:19" ht="9" customHeight="1" thickBot="1">
      <c r="A5" s="2"/>
      <c r="B5" s="2"/>
      <c r="C5" s="2"/>
      <c r="D5" s="2"/>
      <c r="E5" s="3"/>
      <c r="F5" s="2"/>
      <c r="G5" s="2"/>
      <c r="H5" s="2"/>
      <c r="I5" s="2"/>
      <c r="J5" s="2"/>
      <c r="K5" s="2"/>
      <c r="L5" s="2"/>
      <c r="M5" s="2"/>
      <c r="N5" s="2"/>
      <c r="O5" s="2"/>
      <c r="P5" s="2"/>
      <c r="Q5" s="2"/>
      <c r="R5" s="2"/>
      <c r="S5" s="2"/>
    </row>
    <row r="6" spans="1:19" ht="12.75">
      <c r="A6" s="8"/>
      <c r="B6" s="152" t="s">
        <v>36</v>
      </c>
      <c r="C6" s="153"/>
      <c r="D6" s="153"/>
      <c r="E6" s="153"/>
      <c r="F6" s="153"/>
      <c r="G6" s="153"/>
      <c r="H6" s="152" t="s">
        <v>37</v>
      </c>
      <c r="I6" s="153"/>
      <c r="J6" s="153"/>
      <c r="K6" s="153"/>
      <c r="L6" s="153"/>
      <c r="M6" s="153"/>
      <c r="N6" s="152" t="s">
        <v>4</v>
      </c>
      <c r="O6" s="153"/>
      <c r="P6" s="153"/>
      <c r="Q6" s="153"/>
      <c r="R6" s="153"/>
      <c r="S6" s="153"/>
    </row>
    <row r="7" spans="1:19" ht="12.75">
      <c r="A7" s="3"/>
      <c r="B7" s="154" t="s">
        <v>24</v>
      </c>
      <c r="C7" s="155"/>
      <c r="D7" s="155"/>
      <c r="E7" s="154" t="s">
        <v>25</v>
      </c>
      <c r="F7" s="155"/>
      <c r="G7" s="155"/>
      <c r="H7" s="154" t="s">
        <v>24</v>
      </c>
      <c r="I7" s="155"/>
      <c r="J7" s="155"/>
      <c r="K7" s="154" t="s">
        <v>25</v>
      </c>
      <c r="L7" s="155"/>
      <c r="M7" s="155"/>
      <c r="N7" s="154" t="s">
        <v>24</v>
      </c>
      <c r="O7" s="155"/>
      <c r="P7" s="155"/>
      <c r="Q7" s="154" t="s">
        <v>25</v>
      </c>
      <c r="R7" s="155"/>
      <c r="S7" s="155"/>
    </row>
    <row r="8" spans="1:19" s="156" customFormat="1" ht="12.75">
      <c r="A8" s="64"/>
      <c r="B8" s="181" t="s">
        <v>5</v>
      </c>
      <c r="C8" s="182" t="s">
        <v>6</v>
      </c>
      <c r="D8" s="182" t="s">
        <v>4</v>
      </c>
      <c r="E8" s="181" t="s">
        <v>5</v>
      </c>
      <c r="F8" s="182" t="s">
        <v>6</v>
      </c>
      <c r="G8" s="182" t="s">
        <v>4</v>
      </c>
      <c r="H8" s="181" t="s">
        <v>5</v>
      </c>
      <c r="I8" s="182" t="s">
        <v>6</v>
      </c>
      <c r="J8" s="182" t="s">
        <v>4</v>
      </c>
      <c r="K8" s="181" t="s">
        <v>5</v>
      </c>
      <c r="L8" s="182" t="s">
        <v>6</v>
      </c>
      <c r="M8" s="182" t="s">
        <v>4</v>
      </c>
      <c r="N8" s="181" t="s">
        <v>5</v>
      </c>
      <c r="O8" s="182" t="s">
        <v>6</v>
      </c>
      <c r="P8" s="182" t="s">
        <v>4</v>
      </c>
      <c r="Q8" s="181" t="s">
        <v>5</v>
      </c>
      <c r="R8" s="182" t="s">
        <v>6</v>
      </c>
      <c r="S8" s="182" t="s">
        <v>4</v>
      </c>
    </row>
    <row r="9" spans="1:19" ht="6" customHeight="1">
      <c r="A9" s="2"/>
      <c r="B9" s="11"/>
      <c r="C9" s="12"/>
      <c r="D9" s="12"/>
      <c r="E9" s="11"/>
      <c r="F9" s="12"/>
      <c r="G9" s="12"/>
      <c r="H9" s="11"/>
      <c r="I9" s="12"/>
      <c r="J9" s="12"/>
      <c r="K9" s="11"/>
      <c r="L9" s="12"/>
      <c r="M9" s="12"/>
      <c r="N9" s="11"/>
      <c r="O9" s="12"/>
      <c r="P9" s="12"/>
      <c r="Q9" s="11"/>
      <c r="R9" s="12"/>
      <c r="S9" s="12"/>
    </row>
    <row r="10" spans="1:19" ht="13.5" customHeight="1">
      <c r="A10" s="1" t="s">
        <v>7</v>
      </c>
      <c r="B10" s="11"/>
      <c r="C10" s="12"/>
      <c r="D10" s="12"/>
      <c r="E10" s="11"/>
      <c r="F10" s="12"/>
      <c r="G10" s="12"/>
      <c r="H10" s="11"/>
      <c r="I10" s="12"/>
      <c r="J10" s="12"/>
      <c r="K10" s="11"/>
      <c r="L10" s="12"/>
      <c r="M10" s="12"/>
      <c r="N10" s="11"/>
      <c r="O10" s="12"/>
      <c r="P10" s="12"/>
      <c r="Q10" s="11"/>
      <c r="R10" s="12"/>
      <c r="S10" s="12"/>
    </row>
    <row r="11" spans="1:22" s="97" customFormat="1" ht="12" customHeight="1">
      <c r="A11" s="95" t="s">
        <v>44</v>
      </c>
      <c r="B11" s="109">
        <v>111</v>
      </c>
      <c r="C11" s="110">
        <v>422</v>
      </c>
      <c r="D11" s="110">
        <f>SUM(B11:C11)</f>
        <v>533</v>
      </c>
      <c r="E11" s="109">
        <v>71</v>
      </c>
      <c r="F11" s="110">
        <v>169</v>
      </c>
      <c r="G11" s="110">
        <f>SUM(E11:F11)</f>
        <v>240</v>
      </c>
      <c r="H11" s="109">
        <v>140</v>
      </c>
      <c r="I11" s="110">
        <v>2495</v>
      </c>
      <c r="J11" s="110">
        <f>SUM(H11:I11)</f>
        <v>2635</v>
      </c>
      <c r="K11" s="111">
        <v>276</v>
      </c>
      <c r="L11" s="110">
        <v>1695</v>
      </c>
      <c r="M11" s="110">
        <f>SUM(K11:L11)</f>
        <v>1971</v>
      </c>
      <c r="N11" s="109">
        <f aca="true" t="shared" si="0" ref="N11:S11">SUM(B11,H11)</f>
        <v>251</v>
      </c>
      <c r="O11" s="110">
        <f t="shared" si="0"/>
        <v>2917</v>
      </c>
      <c r="P11" s="110">
        <f t="shared" si="0"/>
        <v>3168</v>
      </c>
      <c r="Q11" s="109">
        <f t="shared" si="0"/>
        <v>347</v>
      </c>
      <c r="R11" s="110">
        <f t="shared" si="0"/>
        <v>1864</v>
      </c>
      <c r="S11" s="110">
        <f t="shared" si="0"/>
        <v>2211</v>
      </c>
      <c r="U11"/>
      <c r="V11"/>
    </row>
    <row r="12" spans="1:22" s="97" customFormat="1" ht="12" customHeight="1">
      <c r="A12" s="95" t="s">
        <v>52</v>
      </c>
      <c r="B12" s="109">
        <v>93</v>
      </c>
      <c r="C12" s="110">
        <v>404</v>
      </c>
      <c r="D12" s="110">
        <f>SUM(B12:C12)</f>
        <v>497</v>
      </c>
      <c r="E12" s="109">
        <v>71</v>
      </c>
      <c r="F12" s="110">
        <v>176</v>
      </c>
      <c r="G12" s="110">
        <f>SUM(E12:F12)</f>
        <v>247</v>
      </c>
      <c r="H12" s="109">
        <v>228</v>
      </c>
      <c r="I12" s="110">
        <v>3079</v>
      </c>
      <c r="J12" s="110">
        <f>SUM(H12:I12)</f>
        <v>3307</v>
      </c>
      <c r="K12" s="111">
        <v>247</v>
      </c>
      <c r="L12" s="110">
        <v>1662</v>
      </c>
      <c r="M12" s="110">
        <f>SUM(K12:L12)</f>
        <v>1909</v>
      </c>
      <c r="N12" s="109">
        <f aca="true" t="shared" si="1" ref="N12:S12">SUM(B12,H12)</f>
        <v>321</v>
      </c>
      <c r="O12" s="110">
        <f t="shared" si="1"/>
        <v>3483</v>
      </c>
      <c r="P12" s="110">
        <f t="shared" si="1"/>
        <v>3804</v>
      </c>
      <c r="Q12" s="109">
        <f t="shared" si="1"/>
        <v>318</v>
      </c>
      <c r="R12" s="110">
        <f t="shared" si="1"/>
        <v>1838</v>
      </c>
      <c r="S12" s="110">
        <f t="shared" si="1"/>
        <v>2156</v>
      </c>
      <c r="U12"/>
      <c r="V12"/>
    </row>
    <row r="13" spans="1:22" s="97" customFormat="1" ht="12" customHeight="1">
      <c r="A13" s="233" t="s">
        <v>73</v>
      </c>
      <c r="B13" s="109">
        <v>80</v>
      </c>
      <c r="C13" s="110">
        <v>473</v>
      </c>
      <c r="D13" s="110">
        <f>SUM(B13:C13)</f>
        <v>553</v>
      </c>
      <c r="E13" s="109">
        <v>83</v>
      </c>
      <c r="F13" s="110">
        <v>167</v>
      </c>
      <c r="G13" s="110">
        <f>SUM(E13:F13)</f>
        <v>250</v>
      </c>
      <c r="H13" s="109">
        <v>257</v>
      </c>
      <c r="I13" s="110">
        <v>3348</v>
      </c>
      <c r="J13" s="110">
        <f>SUM(H13:I13)</f>
        <v>3605</v>
      </c>
      <c r="K13" s="111">
        <v>267</v>
      </c>
      <c r="L13" s="110">
        <v>1535</v>
      </c>
      <c r="M13" s="110">
        <f>SUM(K13:L13)</f>
        <v>1802</v>
      </c>
      <c r="N13" s="109">
        <f aca="true" t="shared" si="2" ref="N13:S13">SUM(B13,H13)</f>
        <v>337</v>
      </c>
      <c r="O13" s="110">
        <f t="shared" si="2"/>
        <v>3821</v>
      </c>
      <c r="P13" s="110">
        <f t="shared" si="2"/>
        <v>4158</v>
      </c>
      <c r="Q13" s="109">
        <f t="shared" si="2"/>
        <v>350</v>
      </c>
      <c r="R13" s="110">
        <f t="shared" si="2"/>
        <v>1702</v>
      </c>
      <c r="S13" s="110">
        <f t="shared" si="2"/>
        <v>2052</v>
      </c>
      <c r="U13"/>
      <c r="V13"/>
    </row>
    <row r="14" spans="1:22" s="97" customFormat="1" ht="12" customHeight="1">
      <c r="A14" s="95" t="s">
        <v>132</v>
      </c>
      <c r="B14" s="109">
        <v>227</v>
      </c>
      <c r="C14" s="110">
        <v>1196</v>
      </c>
      <c r="D14" s="110">
        <f>SUM(B14:C14)</f>
        <v>1423</v>
      </c>
      <c r="E14" s="109">
        <v>111</v>
      </c>
      <c r="F14" s="110">
        <v>396</v>
      </c>
      <c r="G14" s="110">
        <f>SUM(E14:F14)</f>
        <v>507</v>
      </c>
      <c r="H14" s="109">
        <v>140</v>
      </c>
      <c r="I14" s="110">
        <v>2840</v>
      </c>
      <c r="J14" s="110">
        <f>SUM(H14:I14)</f>
        <v>2980</v>
      </c>
      <c r="K14" s="111">
        <v>241</v>
      </c>
      <c r="L14" s="110">
        <v>1498</v>
      </c>
      <c r="M14" s="110">
        <f>SUM(K14:L14)</f>
        <v>1739</v>
      </c>
      <c r="N14" s="109">
        <f aca="true" t="shared" si="3" ref="N14:S14">SUM(B14,H14)</f>
        <v>367</v>
      </c>
      <c r="O14" s="110">
        <f t="shared" si="3"/>
        <v>4036</v>
      </c>
      <c r="P14" s="110">
        <f t="shared" si="3"/>
        <v>4403</v>
      </c>
      <c r="Q14" s="109">
        <f t="shared" si="3"/>
        <v>352</v>
      </c>
      <c r="R14" s="110">
        <f t="shared" si="3"/>
        <v>1894</v>
      </c>
      <c r="S14" s="110">
        <f t="shared" si="3"/>
        <v>2246</v>
      </c>
      <c r="U14"/>
      <c r="V14"/>
    </row>
    <row r="15" spans="1:22" ht="12.75">
      <c r="A15" s="3"/>
      <c r="B15" s="11"/>
      <c r="C15" s="12"/>
      <c r="D15" s="12"/>
      <c r="E15" s="11"/>
      <c r="F15" s="12"/>
      <c r="G15" s="12"/>
      <c r="H15" s="11"/>
      <c r="I15" s="12"/>
      <c r="J15" s="12"/>
      <c r="K15" s="11"/>
      <c r="L15" s="12"/>
      <c r="M15" s="12"/>
      <c r="N15" s="11"/>
      <c r="O15" s="12"/>
      <c r="P15" s="12"/>
      <c r="Q15" s="11"/>
      <c r="R15" s="12"/>
      <c r="S15" s="12"/>
      <c r="U15"/>
      <c r="V15"/>
    </row>
    <row r="16" spans="1:22" ht="12.75">
      <c r="A16" s="1" t="s">
        <v>11</v>
      </c>
      <c r="B16" s="11"/>
      <c r="C16" s="12"/>
      <c r="D16" s="12"/>
      <c r="E16" s="11"/>
      <c r="F16" s="12"/>
      <c r="G16" s="12"/>
      <c r="H16" s="11"/>
      <c r="I16" s="12"/>
      <c r="J16" s="12"/>
      <c r="K16" s="11"/>
      <c r="L16" s="12"/>
      <c r="M16" s="12"/>
      <c r="N16" s="11"/>
      <c r="O16" s="12"/>
      <c r="P16" s="12"/>
      <c r="Q16" s="11"/>
      <c r="R16" s="12"/>
      <c r="S16" s="12"/>
      <c r="U16"/>
      <c r="V16"/>
    </row>
    <row r="17" spans="1:22" s="97" customFormat="1" ht="12.75">
      <c r="A17" s="95" t="s">
        <v>44</v>
      </c>
      <c r="B17" s="109">
        <v>221</v>
      </c>
      <c r="C17" s="110">
        <v>891</v>
      </c>
      <c r="D17" s="110">
        <f>SUM(B17:C17)</f>
        <v>1112</v>
      </c>
      <c r="E17" s="109">
        <v>73</v>
      </c>
      <c r="F17" s="110">
        <v>430</v>
      </c>
      <c r="G17" s="110">
        <f>SUM(E17:F17)</f>
        <v>503</v>
      </c>
      <c r="H17" s="109">
        <v>54</v>
      </c>
      <c r="I17" s="110">
        <v>836</v>
      </c>
      <c r="J17" s="110">
        <f>SUM(H17:I17)</f>
        <v>890</v>
      </c>
      <c r="K17" s="111">
        <v>57</v>
      </c>
      <c r="L17" s="110">
        <v>611</v>
      </c>
      <c r="M17" s="110">
        <f>SUM(K17:L17)</f>
        <v>668</v>
      </c>
      <c r="N17" s="109">
        <f aca="true" t="shared" si="4" ref="N17:S17">SUM(B17,H17)</f>
        <v>275</v>
      </c>
      <c r="O17" s="110">
        <f t="shared" si="4"/>
        <v>1727</v>
      </c>
      <c r="P17" s="110">
        <f t="shared" si="4"/>
        <v>2002</v>
      </c>
      <c r="Q17" s="109">
        <f t="shared" si="4"/>
        <v>130</v>
      </c>
      <c r="R17" s="110">
        <f t="shared" si="4"/>
        <v>1041</v>
      </c>
      <c r="S17" s="110">
        <f t="shared" si="4"/>
        <v>1171</v>
      </c>
      <c r="U17"/>
      <c r="V17"/>
    </row>
    <row r="18" spans="1:22" s="97" customFormat="1" ht="12.75">
      <c r="A18" s="95" t="s">
        <v>52</v>
      </c>
      <c r="B18" s="109">
        <v>115</v>
      </c>
      <c r="C18" s="110">
        <v>665</v>
      </c>
      <c r="D18" s="110">
        <f>SUM(B18:C18)</f>
        <v>780</v>
      </c>
      <c r="E18" s="109">
        <v>19</v>
      </c>
      <c r="F18" s="110">
        <v>299</v>
      </c>
      <c r="G18" s="110">
        <f>SUM(E18:F18)</f>
        <v>318</v>
      </c>
      <c r="H18" s="109">
        <v>45</v>
      </c>
      <c r="I18" s="110">
        <v>802</v>
      </c>
      <c r="J18" s="110">
        <f>SUM(H18:I18)</f>
        <v>847</v>
      </c>
      <c r="K18" s="111">
        <v>46</v>
      </c>
      <c r="L18" s="110">
        <v>613</v>
      </c>
      <c r="M18" s="110">
        <f>SUM(K18:L18)</f>
        <v>659</v>
      </c>
      <c r="N18" s="109">
        <f aca="true" t="shared" si="5" ref="N18:S19">SUM(B18,H18)</f>
        <v>160</v>
      </c>
      <c r="O18" s="110">
        <f t="shared" si="5"/>
        <v>1467</v>
      </c>
      <c r="P18" s="110">
        <f t="shared" si="5"/>
        <v>1627</v>
      </c>
      <c r="Q18" s="109">
        <f t="shared" si="5"/>
        <v>65</v>
      </c>
      <c r="R18" s="110">
        <f t="shared" si="5"/>
        <v>912</v>
      </c>
      <c r="S18" s="110">
        <f t="shared" si="5"/>
        <v>977</v>
      </c>
      <c r="U18"/>
      <c r="V18"/>
    </row>
    <row r="19" spans="1:22" s="97" customFormat="1" ht="12" customHeight="1">
      <c r="A19" s="225" t="s">
        <v>73</v>
      </c>
      <c r="B19" s="109">
        <v>103</v>
      </c>
      <c r="C19" s="110">
        <v>755</v>
      </c>
      <c r="D19" s="110">
        <f>SUM(B19:C19)</f>
        <v>858</v>
      </c>
      <c r="E19" s="109">
        <v>9</v>
      </c>
      <c r="F19" s="110">
        <v>253</v>
      </c>
      <c r="G19" s="110">
        <f>SUM(E19:F19)</f>
        <v>262</v>
      </c>
      <c r="H19" s="109">
        <v>55</v>
      </c>
      <c r="I19" s="110">
        <v>977</v>
      </c>
      <c r="J19" s="110">
        <f>SUM(H19:I19)</f>
        <v>1032</v>
      </c>
      <c r="K19" s="111">
        <v>32</v>
      </c>
      <c r="L19" s="110">
        <v>589</v>
      </c>
      <c r="M19" s="110">
        <f>SUM(K19:L19)</f>
        <v>621</v>
      </c>
      <c r="N19" s="109">
        <f t="shared" si="5"/>
        <v>158</v>
      </c>
      <c r="O19" s="110">
        <f t="shared" si="5"/>
        <v>1732</v>
      </c>
      <c r="P19" s="110">
        <f t="shared" si="5"/>
        <v>1890</v>
      </c>
      <c r="Q19" s="109">
        <f t="shared" si="5"/>
        <v>41</v>
      </c>
      <c r="R19" s="110">
        <f t="shared" si="5"/>
        <v>842</v>
      </c>
      <c r="S19" s="110">
        <f t="shared" si="5"/>
        <v>883</v>
      </c>
      <c r="U19"/>
      <c r="V19"/>
    </row>
    <row r="20" spans="1:22" s="97" customFormat="1" ht="12" customHeight="1">
      <c r="A20" s="225" t="s">
        <v>132</v>
      </c>
      <c r="B20" s="109">
        <v>92</v>
      </c>
      <c r="C20" s="110">
        <v>855</v>
      </c>
      <c r="D20" s="110">
        <f>SUM(B20:C20)</f>
        <v>947</v>
      </c>
      <c r="E20" s="109">
        <v>13</v>
      </c>
      <c r="F20" s="110">
        <v>364</v>
      </c>
      <c r="G20" s="110">
        <f>SUM(E20:F20)</f>
        <v>377</v>
      </c>
      <c r="H20" s="109">
        <v>44</v>
      </c>
      <c r="I20" s="110">
        <v>984</v>
      </c>
      <c r="J20" s="110">
        <f>SUM(H20:I20)</f>
        <v>1028</v>
      </c>
      <c r="K20" s="111">
        <v>34</v>
      </c>
      <c r="L20" s="110">
        <v>545</v>
      </c>
      <c r="M20" s="110">
        <f>SUM(K20:L20)</f>
        <v>579</v>
      </c>
      <c r="N20" s="109">
        <f aca="true" t="shared" si="6" ref="N20:S20">SUM(B20,H20)</f>
        <v>136</v>
      </c>
      <c r="O20" s="110">
        <f t="shared" si="6"/>
        <v>1839</v>
      </c>
      <c r="P20" s="110">
        <f t="shared" si="6"/>
        <v>1975</v>
      </c>
      <c r="Q20" s="109">
        <f t="shared" si="6"/>
        <v>47</v>
      </c>
      <c r="R20" s="110">
        <f t="shared" si="6"/>
        <v>909</v>
      </c>
      <c r="S20" s="110">
        <f t="shared" si="6"/>
        <v>956</v>
      </c>
      <c r="U20"/>
      <c r="V20"/>
    </row>
    <row r="21" spans="1:22" ht="12.75">
      <c r="A21" s="2"/>
      <c r="B21" s="11"/>
      <c r="C21" s="12"/>
      <c r="D21" s="12"/>
      <c r="E21" s="11"/>
      <c r="F21" s="12"/>
      <c r="G21" s="12"/>
      <c r="H21" s="11"/>
      <c r="I21" s="12"/>
      <c r="J21" s="12"/>
      <c r="K21" s="11"/>
      <c r="L21" s="12"/>
      <c r="M21" s="12"/>
      <c r="N21" s="11"/>
      <c r="O21" s="12"/>
      <c r="P21" s="12"/>
      <c r="Q21" s="11"/>
      <c r="R21" s="12"/>
      <c r="S21" s="12"/>
      <c r="U21"/>
      <c r="V21"/>
    </row>
    <row r="22" spans="1:22" ht="12.75">
      <c r="A22" s="1" t="s">
        <v>12</v>
      </c>
      <c r="B22" s="11"/>
      <c r="C22" s="12"/>
      <c r="D22" s="12"/>
      <c r="E22" s="11"/>
      <c r="F22" s="12"/>
      <c r="G22" s="12"/>
      <c r="H22" s="11"/>
      <c r="I22" s="12"/>
      <c r="J22" s="12"/>
      <c r="K22" s="11"/>
      <c r="L22" s="12"/>
      <c r="M22" s="12"/>
      <c r="N22" s="11"/>
      <c r="O22" s="12"/>
      <c r="P22" s="12"/>
      <c r="Q22" s="11"/>
      <c r="R22" s="12"/>
      <c r="S22" s="12"/>
      <c r="U22"/>
      <c r="V22"/>
    </row>
    <row r="23" spans="1:22" s="97" customFormat="1" ht="12.75">
      <c r="A23" s="95" t="s">
        <v>44</v>
      </c>
      <c r="B23" s="109">
        <v>1423</v>
      </c>
      <c r="C23" s="110">
        <v>2463</v>
      </c>
      <c r="D23" s="110">
        <f>SUM(B23:C23)</f>
        <v>3886</v>
      </c>
      <c r="E23" s="109">
        <v>441</v>
      </c>
      <c r="F23" s="110">
        <v>816</v>
      </c>
      <c r="G23" s="110">
        <f>SUM(E23:F23)</f>
        <v>1257</v>
      </c>
      <c r="H23" s="109">
        <v>192</v>
      </c>
      <c r="I23" s="110">
        <v>1746</v>
      </c>
      <c r="J23" s="110">
        <f>SUM(H23:I23)</f>
        <v>1938</v>
      </c>
      <c r="K23" s="111">
        <v>197</v>
      </c>
      <c r="L23" s="110">
        <v>631</v>
      </c>
      <c r="M23" s="110">
        <f>SUM(K23:L23)</f>
        <v>828</v>
      </c>
      <c r="N23" s="109">
        <f aca="true" t="shared" si="7" ref="N23:S23">SUM(B23,H23)</f>
        <v>1615</v>
      </c>
      <c r="O23" s="110">
        <f t="shared" si="7"/>
        <v>4209</v>
      </c>
      <c r="P23" s="110">
        <f t="shared" si="7"/>
        <v>5824</v>
      </c>
      <c r="Q23" s="109">
        <f t="shared" si="7"/>
        <v>638</v>
      </c>
      <c r="R23" s="110">
        <f t="shared" si="7"/>
        <v>1447</v>
      </c>
      <c r="S23" s="110">
        <f t="shared" si="7"/>
        <v>2085</v>
      </c>
      <c r="U23"/>
      <c r="V23"/>
    </row>
    <row r="24" spans="1:22" s="97" customFormat="1" ht="12.75">
      <c r="A24" s="95" t="s">
        <v>52</v>
      </c>
      <c r="B24" s="109">
        <v>1307</v>
      </c>
      <c r="C24" s="110">
        <v>2418</v>
      </c>
      <c r="D24" s="110">
        <f>SUM(B24:C24)</f>
        <v>3725</v>
      </c>
      <c r="E24" s="109">
        <v>498</v>
      </c>
      <c r="F24" s="110">
        <v>873</v>
      </c>
      <c r="G24" s="110">
        <f>SUM(E24:F24)</f>
        <v>1371</v>
      </c>
      <c r="H24" s="109">
        <v>237</v>
      </c>
      <c r="I24" s="110">
        <v>1718</v>
      </c>
      <c r="J24" s="110">
        <f>SUM(H24:I24)</f>
        <v>1955</v>
      </c>
      <c r="K24" s="111">
        <v>223</v>
      </c>
      <c r="L24" s="110">
        <v>628</v>
      </c>
      <c r="M24" s="110">
        <f>SUM(K24:L24)</f>
        <v>851</v>
      </c>
      <c r="N24" s="109">
        <f aca="true" t="shared" si="8" ref="N24:S25">SUM(B24,H24)</f>
        <v>1544</v>
      </c>
      <c r="O24" s="110">
        <f t="shared" si="8"/>
        <v>4136</v>
      </c>
      <c r="P24" s="110">
        <f t="shared" si="8"/>
        <v>5680</v>
      </c>
      <c r="Q24" s="109">
        <f t="shared" si="8"/>
        <v>721</v>
      </c>
      <c r="R24" s="110">
        <f t="shared" si="8"/>
        <v>1501</v>
      </c>
      <c r="S24" s="110">
        <f t="shared" si="8"/>
        <v>2222</v>
      </c>
      <c r="U24"/>
      <c r="V24"/>
    </row>
    <row r="25" spans="1:22" s="97" customFormat="1" ht="12" customHeight="1">
      <c r="A25" s="225" t="s">
        <v>73</v>
      </c>
      <c r="B25" s="109">
        <v>1206</v>
      </c>
      <c r="C25" s="110">
        <v>2359</v>
      </c>
      <c r="D25" s="110">
        <f>SUM(B25:C25)</f>
        <v>3565</v>
      </c>
      <c r="E25" s="109">
        <v>399</v>
      </c>
      <c r="F25" s="110">
        <v>766</v>
      </c>
      <c r="G25" s="110">
        <f>SUM(E25:F25)</f>
        <v>1165</v>
      </c>
      <c r="H25" s="109">
        <v>251</v>
      </c>
      <c r="I25" s="110">
        <v>1755</v>
      </c>
      <c r="J25" s="110">
        <f>SUM(H25:I25)</f>
        <v>2006</v>
      </c>
      <c r="K25" s="111">
        <v>199</v>
      </c>
      <c r="L25" s="110">
        <v>663</v>
      </c>
      <c r="M25" s="110">
        <f>SUM(K25:L25)</f>
        <v>862</v>
      </c>
      <c r="N25" s="109">
        <f t="shared" si="8"/>
        <v>1457</v>
      </c>
      <c r="O25" s="110">
        <f t="shared" si="8"/>
        <v>4114</v>
      </c>
      <c r="P25" s="110">
        <f t="shared" si="8"/>
        <v>5571</v>
      </c>
      <c r="Q25" s="109">
        <f t="shared" si="8"/>
        <v>598</v>
      </c>
      <c r="R25" s="110">
        <f t="shared" si="8"/>
        <v>1429</v>
      </c>
      <c r="S25" s="110">
        <f t="shared" si="8"/>
        <v>2027</v>
      </c>
      <c r="U25"/>
      <c r="V25"/>
    </row>
    <row r="26" spans="1:22" s="97" customFormat="1" ht="12" customHeight="1">
      <c r="A26" s="225" t="s">
        <v>132</v>
      </c>
      <c r="B26" s="109">
        <v>1053</v>
      </c>
      <c r="C26" s="110">
        <v>2127</v>
      </c>
      <c r="D26" s="110">
        <f>SUM(B26:C26)</f>
        <v>3180</v>
      </c>
      <c r="E26" s="109">
        <v>422</v>
      </c>
      <c r="F26" s="110">
        <v>721</v>
      </c>
      <c r="G26" s="110">
        <f>SUM(E26:F26)</f>
        <v>1143</v>
      </c>
      <c r="H26" s="109">
        <v>244</v>
      </c>
      <c r="I26" s="110">
        <v>1828</v>
      </c>
      <c r="J26" s="110">
        <f>SUM(H26:I26)</f>
        <v>2072</v>
      </c>
      <c r="K26" s="111">
        <v>211</v>
      </c>
      <c r="L26" s="110">
        <v>572</v>
      </c>
      <c r="M26" s="110">
        <f>SUM(K26:L26)</f>
        <v>783</v>
      </c>
      <c r="N26" s="109">
        <f aca="true" t="shared" si="9" ref="N26:S26">SUM(B26,H26)</f>
        <v>1297</v>
      </c>
      <c r="O26" s="110">
        <f t="shared" si="9"/>
        <v>3955</v>
      </c>
      <c r="P26" s="110">
        <f t="shared" si="9"/>
        <v>5252</v>
      </c>
      <c r="Q26" s="109">
        <f t="shared" si="9"/>
        <v>633</v>
      </c>
      <c r="R26" s="110">
        <f t="shared" si="9"/>
        <v>1293</v>
      </c>
      <c r="S26" s="110">
        <f t="shared" si="9"/>
        <v>1926</v>
      </c>
      <c r="U26"/>
      <c r="V26"/>
    </row>
    <row r="27" spans="1:22" ht="12.75">
      <c r="A27" s="3"/>
      <c r="B27" s="11"/>
      <c r="C27" s="12"/>
      <c r="D27" s="12"/>
      <c r="E27" s="11"/>
      <c r="F27" s="12"/>
      <c r="G27" s="12"/>
      <c r="H27" s="11"/>
      <c r="I27" s="12"/>
      <c r="J27" s="12"/>
      <c r="K27" s="11"/>
      <c r="L27" s="12"/>
      <c r="M27" s="12"/>
      <c r="N27" s="11"/>
      <c r="O27" s="12"/>
      <c r="P27" s="12"/>
      <c r="Q27" s="11"/>
      <c r="R27" s="12"/>
      <c r="S27" s="12"/>
      <c r="U27"/>
      <c r="V27"/>
    </row>
    <row r="28" spans="1:22" ht="12.75">
      <c r="A28" s="1" t="s">
        <v>13</v>
      </c>
      <c r="B28" s="11"/>
      <c r="C28" s="12"/>
      <c r="D28" s="12"/>
      <c r="E28" s="11"/>
      <c r="F28" s="12"/>
      <c r="G28" s="12"/>
      <c r="H28" s="11"/>
      <c r="I28" s="12"/>
      <c r="J28" s="12"/>
      <c r="K28" s="11"/>
      <c r="L28" s="12"/>
      <c r="M28" s="12"/>
      <c r="N28" s="11"/>
      <c r="O28" s="12"/>
      <c r="P28" s="12"/>
      <c r="Q28" s="11"/>
      <c r="R28" s="12"/>
      <c r="S28" s="12"/>
      <c r="U28"/>
      <c r="V28"/>
    </row>
    <row r="29" spans="1:22" s="97" customFormat="1" ht="12.75">
      <c r="A29" s="95" t="s">
        <v>44</v>
      </c>
      <c r="B29" s="109">
        <v>121</v>
      </c>
      <c r="C29" s="110">
        <v>290</v>
      </c>
      <c r="D29" s="110">
        <f>SUM(B29:C29)</f>
        <v>411</v>
      </c>
      <c r="E29" s="109">
        <v>40</v>
      </c>
      <c r="F29" s="110">
        <v>155</v>
      </c>
      <c r="G29" s="110">
        <f>SUM(E29:F29)</f>
        <v>195</v>
      </c>
      <c r="H29" s="109">
        <v>28</v>
      </c>
      <c r="I29" s="110">
        <v>272</v>
      </c>
      <c r="J29" s="110">
        <f>SUM(H29:I29)</f>
        <v>300</v>
      </c>
      <c r="K29" s="111">
        <v>24</v>
      </c>
      <c r="L29" s="110">
        <v>214</v>
      </c>
      <c r="M29" s="110">
        <f>SUM(K29:L29)</f>
        <v>238</v>
      </c>
      <c r="N29" s="109">
        <f aca="true" t="shared" si="10" ref="N29:O31">SUM(B29,H29)</f>
        <v>149</v>
      </c>
      <c r="O29" s="110">
        <f t="shared" si="10"/>
        <v>562</v>
      </c>
      <c r="P29" s="110">
        <f aca="true" t="shared" si="11" ref="P29:R31">SUM(D29,J29)</f>
        <v>711</v>
      </c>
      <c r="Q29" s="109">
        <f t="shared" si="11"/>
        <v>64</v>
      </c>
      <c r="R29" s="110">
        <f t="shared" si="11"/>
        <v>369</v>
      </c>
      <c r="S29" s="110">
        <f>SUM(G29,M29)</f>
        <v>433</v>
      </c>
      <c r="U29"/>
      <c r="V29"/>
    </row>
    <row r="30" spans="1:22" s="97" customFormat="1" ht="12.75">
      <c r="A30" s="95" t="s">
        <v>52</v>
      </c>
      <c r="B30" s="109">
        <v>123</v>
      </c>
      <c r="C30" s="110">
        <v>346</v>
      </c>
      <c r="D30" s="110">
        <f>SUM(B30:C30)</f>
        <v>469</v>
      </c>
      <c r="E30" s="109">
        <v>46</v>
      </c>
      <c r="F30" s="110">
        <v>189</v>
      </c>
      <c r="G30" s="110">
        <f>SUM(E30:F30)</f>
        <v>235</v>
      </c>
      <c r="H30" s="109">
        <v>26</v>
      </c>
      <c r="I30" s="110">
        <v>284</v>
      </c>
      <c r="J30" s="110">
        <f>SUM(H30:I30)</f>
        <v>310</v>
      </c>
      <c r="K30" s="111">
        <v>29</v>
      </c>
      <c r="L30" s="110">
        <v>221</v>
      </c>
      <c r="M30" s="110">
        <f>SUM(K30:L30)</f>
        <v>250</v>
      </c>
      <c r="N30" s="109">
        <f t="shared" si="10"/>
        <v>149</v>
      </c>
      <c r="O30" s="110">
        <f t="shared" si="10"/>
        <v>630</v>
      </c>
      <c r="P30" s="110">
        <f t="shared" si="11"/>
        <v>779</v>
      </c>
      <c r="Q30" s="109">
        <f t="shared" si="11"/>
        <v>75</v>
      </c>
      <c r="R30" s="110">
        <f t="shared" si="11"/>
        <v>410</v>
      </c>
      <c r="S30" s="110">
        <f>SUM(G30,M30)</f>
        <v>485</v>
      </c>
      <c r="U30"/>
      <c r="V30"/>
    </row>
    <row r="31" spans="1:22" s="97" customFormat="1" ht="12" customHeight="1">
      <c r="A31" s="225" t="s">
        <v>73</v>
      </c>
      <c r="B31" s="109">
        <v>129</v>
      </c>
      <c r="C31" s="110">
        <v>412</v>
      </c>
      <c r="D31" s="110">
        <f>SUM(B31:C31)</f>
        <v>541</v>
      </c>
      <c r="E31" s="109">
        <v>50</v>
      </c>
      <c r="F31" s="110">
        <v>214</v>
      </c>
      <c r="G31" s="110">
        <f>SUM(E31:F31)</f>
        <v>264</v>
      </c>
      <c r="H31" s="109">
        <v>38</v>
      </c>
      <c r="I31" s="110">
        <v>323</v>
      </c>
      <c r="J31" s="110">
        <f>SUM(H31:I31)</f>
        <v>361</v>
      </c>
      <c r="K31" s="111">
        <v>18</v>
      </c>
      <c r="L31" s="110">
        <v>172</v>
      </c>
      <c r="M31" s="110">
        <f>SUM(K31:L31)</f>
        <v>190</v>
      </c>
      <c r="N31" s="109">
        <f t="shared" si="10"/>
        <v>167</v>
      </c>
      <c r="O31" s="110">
        <f t="shared" si="10"/>
        <v>735</v>
      </c>
      <c r="P31" s="110">
        <f t="shared" si="11"/>
        <v>902</v>
      </c>
      <c r="Q31" s="109">
        <f t="shared" si="11"/>
        <v>68</v>
      </c>
      <c r="R31" s="110">
        <f t="shared" si="11"/>
        <v>386</v>
      </c>
      <c r="S31" s="110">
        <f>SUM(G31,M31)</f>
        <v>454</v>
      </c>
      <c r="U31"/>
      <c r="V31"/>
    </row>
    <row r="32" spans="1:22" s="97" customFormat="1" ht="12" customHeight="1">
      <c r="A32" s="225" t="s">
        <v>132</v>
      </c>
      <c r="B32" s="109">
        <v>118</v>
      </c>
      <c r="C32" s="110">
        <v>479</v>
      </c>
      <c r="D32" s="110">
        <f>SUM(B32:C32)</f>
        <v>597</v>
      </c>
      <c r="E32" s="109">
        <v>56</v>
      </c>
      <c r="F32" s="110">
        <v>267</v>
      </c>
      <c r="G32" s="110">
        <f>SUM(E32:F32)</f>
        <v>323</v>
      </c>
      <c r="H32" s="109">
        <v>47</v>
      </c>
      <c r="I32" s="110">
        <v>348</v>
      </c>
      <c r="J32" s="110">
        <f>SUM(H32:I32)</f>
        <v>395</v>
      </c>
      <c r="K32" s="111">
        <v>24</v>
      </c>
      <c r="L32" s="110">
        <v>239</v>
      </c>
      <c r="M32" s="110">
        <f>SUM(K32:L32)</f>
        <v>263</v>
      </c>
      <c r="N32" s="109">
        <f>SUM(B32,H32)</f>
        <v>165</v>
      </c>
      <c r="O32" s="110">
        <f>SUM(C32,I32)</f>
        <v>827</v>
      </c>
      <c r="P32" s="110">
        <f>SUM(D32,J32)</f>
        <v>992</v>
      </c>
      <c r="Q32" s="109">
        <f>SUM(E32,K32)</f>
        <v>80</v>
      </c>
      <c r="R32" s="110">
        <f>SUM(F32,L32)</f>
        <v>506</v>
      </c>
      <c r="S32" s="110">
        <f>SUM(G32,M32)</f>
        <v>586</v>
      </c>
      <c r="U32"/>
      <c r="V32"/>
    </row>
    <row r="33" spans="1:22" s="97" customFormat="1" ht="12.75">
      <c r="A33" s="95"/>
      <c r="B33" s="109"/>
      <c r="C33" s="110"/>
      <c r="D33" s="110"/>
      <c r="E33" s="109"/>
      <c r="F33" s="110"/>
      <c r="G33" s="110"/>
      <c r="H33" s="109"/>
      <c r="I33" s="110"/>
      <c r="J33" s="110"/>
      <c r="K33" s="111"/>
      <c r="L33" s="110"/>
      <c r="M33" s="110"/>
      <c r="N33" s="109"/>
      <c r="O33" s="110"/>
      <c r="P33" s="110"/>
      <c r="Q33" s="109"/>
      <c r="R33" s="110"/>
      <c r="S33" s="110"/>
      <c r="U33"/>
      <c r="V33"/>
    </row>
    <row r="34" spans="1:22" s="97" customFormat="1" ht="14.25" customHeight="1">
      <c r="A34" s="94" t="s">
        <v>75</v>
      </c>
      <c r="B34" s="109"/>
      <c r="C34" s="110"/>
      <c r="D34" s="110"/>
      <c r="E34" s="109"/>
      <c r="F34" s="110"/>
      <c r="G34" s="110"/>
      <c r="H34" s="109"/>
      <c r="I34" s="110"/>
      <c r="J34" s="110"/>
      <c r="K34" s="109"/>
      <c r="L34" s="110"/>
      <c r="M34" s="110"/>
      <c r="N34" s="109"/>
      <c r="O34" s="110"/>
      <c r="P34" s="110"/>
      <c r="Q34" s="109"/>
      <c r="R34" s="110"/>
      <c r="S34" s="110"/>
      <c r="U34"/>
      <c r="V34"/>
    </row>
    <row r="35" spans="1:22" s="97" customFormat="1" ht="14.25" customHeight="1">
      <c r="A35" s="95" t="s">
        <v>52</v>
      </c>
      <c r="B35" s="84">
        <v>2</v>
      </c>
      <c r="C35" s="201">
        <v>9</v>
      </c>
      <c r="D35" s="201">
        <f>SUM(B35,C35)</f>
        <v>11</v>
      </c>
      <c r="E35" s="84">
        <v>0</v>
      </c>
      <c r="F35" s="201">
        <v>5</v>
      </c>
      <c r="G35" s="201">
        <f>SUM(E35:F35)</f>
        <v>5</v>
      </c>
      <c r="H35" s="84">
        <v>0</v>
      </c>
      <c r="I35" s="201">
        <v>4</v>
      </c>
      <c r="J35" s="201">
        <f>SUM(H35:I35)</f>
        <v>4</v>
      </c>
      <c r="K35" s="84">
        <v>0</v>
      </c>
      <c r="L35" s="201">
        <v>3</v>
      </c>
      <c r="M35" s="201">
        <f>SUM(K35:L35)</f>
        <v>3</v>
      </c>
      <c r="N35" s="84">
        <f aca="true" t="shared" si="12" ref="N35:O37">SUM(B35,H35)</f>
        <v>2</v>
      </c>
      <c r="O35" s="201">
        <f t="shared" si="12"/>
        <v>13</v>
      </c>
      <c r="P35" s="201">
        <f>SUM(N35:O35)</f>
        <v>15</v>
      </c>
      <c r="Q35" s="84">
        <f aca="true" t="shared" si="13" ref="Q35:R37">SUM(E35,K35)</f>
        <v>0</v>
      </c>
      <c r="R35" s="201">
        <f t="shared" si="13"/>
        <v>8</v>
      </c>
      <c r="S35" s="201">
        <f>SUM(Q35:R35)</f>
        <v>8</v>
      </c>
      <c r="U35"/>
      <c r="V35"/>
    </row>
    <row r="36" spans="1:22" s="97" customFormat="1" ht="12" customHeight="1">
      <c r="A36" s="225" t="s">
        <v>73</v>
      </c>
      <c r="B36" s="109">
        <v>2</v>
      </c>
      <c r="C36" s="110">
        <v>9</v>
      </c>
      <c r="D36" s="201">
        <f>SUM(B36,C36)</f>
        <v>11</v>
      </c>
      <c r="E36" s="109">
        <v>0</v>
      </c>
      <c r="F36" s="110">
        <v>2</v>
      </c>
      <c r="G36" s="201">
        <f>SUM(E36:F36)</f>
        <v>2</v>
      </c>
      <c r="H36" s="109">
        <v>0</v>
      </c>
      <c r="I36" s="110">
        <v>8</v>
      </c>
      <c r="J36" s="201">
        <f>SUM(H36:I36)</f>
        <v>8</v>
      </c>
      <c r="K36" s="111">
        <v>0</v>
      </c>
      <c r="L36" s="110">
        <v>0</v>
      </c>
      <c r="M36" s="201">
        <f>SUM(K36:L36)</f>
        <v>0</v>
      </c>
      <c r="N36" s="109">
        <f t="shared" si="12"/>
        <v>2</v>
      </c>
      <c r="O36" s="110">
        <f t="shared" si="12"/>
        <v>17</v>
      </c>
      <c r="P36" s="110">
        <f>SUM(D36,J36)</f>
        <v>19</v>
      </c>
      <c r="Q36" s="109">
        <f t="shared" si="13"/>
        <v>0</v>
      </c>
      <c r="R36" s="110">
        <f t="shared" si="13"/>
        <v>2</v>
      </c>
      <c r="S36" s="110">
        <f>SUM(G36,M36)</f>
        <v>2</v>
      </c>
      <c r="U36"/>
      <c r="V36"/>
    </row>
    <row r="37" spans="1:22" s="97" customFormat="1" ht="12" customHeight="1">
      <c r="A37" s="225" t="s">
        <v>132</v>
      </c>
      <c r="B37" s="109">
        <v>2</v>
      </c>
      <c r="C37" s="110">
        <v>10</v>
      </c>
      <c r="D37" s="201">
        <f>SUM(B37,C37)</f>
        <v>12</v>
      </c>
      <c r="E37" s="109">
        <v>0</v>
      </c>
      <c r="F37" s="110">
        <v>5</v>
      </c>
      <c r="G37" s="201">
        <f>SUM(E37:F37)</f>
        <v>5</v>
      </c>
      <c r="H37" s="109">
        <v>0</v>
      </c>
      <c r="I37" s="110">
        <v>4</v>
      </c>
      <c r="J37" s="201">
        <f>SUM(H37:I37)</f>
        <v>4</v>
      </c>
      <c r="K37" s="111">
        <v>0</v>
      </c>
      <c r="L37" s="110">
        <v>3</v>
      </c>
      <c r="M37" s="201">
        <f>SUM(K37:L37)</f>
        <v>3</v>
      </c>
      <c r="N37" s="109">
        <f t="shared" si="12"/>
        <v>2</v>
      </c>
      <c r="O37" s="110">
        <f t="shared" si="12"/>
        <v>14</v>
      </c>
      <c r="P37" s="110">
        <f>SUM(D37,J37)</f>
        <v>16</v>
      </c>
      <c r="Q37" s="109">
        <f t="shared" si="13"/>
        <v>0</v>
      </c>
      <c r="R37" s="110">
        <f t="shared" si="13"/>
        <v>8</v>
      </c>
      <c r="S37" s="110">
        <f>SUM(G37,M37)</f>
        <v>8</v>
      </c>
      <c r="U37"/>
      <c r="V37"/>
    </row>
    <row r="38" spans="1:22" ht="12.75">
      <c r="A38" s="2"/>
      <c r="B38" s="11"/>
      <c r="C38" s="12"/>
      <c r="D38" s="12"/>
      <c r="E38" s="11"/>
      <c r="F38" s="12"/>
      <c r="G38" s="12"/>
      <c r="H38" s="11"/>
      <c r="I38" s="12"/>
      <c r="J38" s="12"/>
      <c r="K38" s="11"/>
      <c r="L38" s="12"/>
      <c r="M38" s="12"/>
      <c r="N38" s="11"/>
      <c r="O38" s="12"/>
      <c r="P38" s="12"/>
      <c r="Q38" s="11"/>
      <c r="R38" s="12"/>
      <c r="S38" s="12"/>
      <c r="U38"/>
      <c r="V38"/>
    </row>
    <row r="39" spans="1:22" ht="12.75">
      <c r="A39" s="1" t="s">
        <v>14</v>
      </c>
      <c r="B39" s="11"/>
      <c r="C39" s="12"/>
      <c r="D39" s="12"/>
      <c r="E39" s="11"/>
      <c r="F39" s="12"/>
      <c r="G39" s="12"/>
      <c r="H39" s="11"/>
      <c r="I39" s="12"/>
      <c r="J39" s="12"/>
      <c r="K39" s="11"/>
      <c r="L39" s="12"/>
      <c r="M39" s="12"/>
      <c r="N39" s="11"/>
      <c r="O39" s="12"/>
      <c r="P39" s="12"/>
      <c r="Q39" s="11"/>
      <c r="R39" s="12"/>
      <c r="S39" s="12"/>
      <c r="U39"/>
      <c r="V39"/>
    </row>
    <row r="40" spans="1:22" s="97" customFormat="1" ht="12.75">
      <c r="A40" s="95" t="s">
        <v>44</v>
      </c>
      <c r="B40" s="109">
        <v>377</v>
      </c>
      <c r="C40" s="110">
        <v>541</v>
      </c>
      <c r="D40" s="110">
        <f>SUM(B40:C40)</f>
        <v>918</v>
      </c>
      <c r="E40" s="109">
        <v>176</v>
      </c>
      <c r="F40" s="110">
        <v>306</v>
      </c>
      <c r="G40" s="110">
        <f>SUM(E40:F40)</f>
        <v>482</v>
      </c>
      <c r="H40" s="109">
        <v>46</v>
      </c>
      <c r="I40" s="110">
        <v>411</v>
      </c>
      <c r="J40" s="110">
        <f>SUM(H40:I40)</f>
        <v>457</v>
      </c>
      <c r="K40" s="111">
        <v>48</v>
      </c>
      <c r="L40" s="110">
        <v>153</v>
      </c>
      <c r="M40" s="110">
        <f>SUM(K40:L40)</f>
        <v>201</v>
      </c>
      <c r="N40" s="109">
        <f aca="true" t="shared" si="14" ref="N40:S40">SUM(B40,H40)</f>
        <v>423</v>
      </c>
      <c r="O40" s="110">
        <f t="shared" si="14"/>
        <v>952</v>
      </c>
      <c r="P40" s="110">
        <f t="shared" si="14"/>
        <v>1375</v>
      </c>
      <c r="Q40" s="109">
        <f t="shared" si="14"/>
        <v>224</v>
      </c>
      <c r="R40" s="110">
        <f t="shared" si="14"/>
        <v>459</v>
      </c>
      <c r="S40" s="110">
        <f t="shared" si="14"/>
        <v>683</v>
      </c>
      <c r="U40"/>
      <c r="V40"/>
    </row>
    <row r="41" spans="1:22" s="97" customFormat="1" ht="12.75">
      <c r="A41" s="95" t="s">
        <v>52</v>
      </c>
      <c r="B41" s="109">
        <v>415</v>
      </c>
      <c r="C41" s="110">
        <v>562</v>
      </c>
      <c r="D41" s="110">
        <f>SUM(B41:C41)</f>
        <v>977</v>
      </c>
      <c r="E41" s="109">
        <v>241</v>
      </c>
      <c r="F41" s="110">
        <v>362</v>
      </c>
      <c r="G41" s="110">
        <f>SUM(E41:F41)</f>
        <v>603</v>
      </c>
      <c r="H41" s="109">
        <v>69</v>
      </c>
      <c r="I41" s="110">
        <v>508</v>
      </c>
      <c r="J41" s="110">
        <f>SUM(H41:I41)</f>
        <v>577</v>
      </c>
      <c r="K41" s="111">
        <v>50</v>
      </c>
      <c r="L41" s="110">
        <v>239</v>
      </c>
      <c r="M41" s="110">
        <f>SUM(K41:L41)</f>
        <v>289</v>
      </c>
      <c r="N41" s="109">
        <f aca="true" t="shared" si="15" ref="N41:S42">SUM(B41,H41)</f>
        <v>484</v>
      </c>
      <c r="O41" s="110">
        <f t="shared" si="15"/>
        <v>1070</v>
      </c>
      <c r="P41" s="110">
        <f t="shared" si="15"/>
        <v>1554</v>
      </c>
      <c r="Q41" s="109">
        <f t="shared" si="15"/>
        <v>291</v>
      </c>
      <c r="R41" s="110">
        <f t="shared" si="15"/>
        <v>601</v>
      </c>
      <c r="S41" s="110">
        <f t="shared" si="15"/>
        <v>892</v>
      </c>
      <c r="U41"/>
      <c r="V41"/>
    </row>
    <row r="42" spans="1:22" s="97" customFormat="1" ht="12" customHeight="1">
      <c r="A42" s="225" t="s">
        <v>73</v>
      </c>
      <c r="B42" s="109">
        <v>459</v>
      </c>
      <c r="C42" s="110">
        <v>645</v>
      </c>
      <c r="D42" s="110">
        <f>SUM(B42:C42)</f>
        <v>1104</v>
      </c>
      <c r="E42" s="109">
        <v>213</v>
      </c>
      <c r="F42" s="110">
        <v>292</v>
      </c>
      <c r="G42" s="110">
        <f>SUM(E42:F42)</f>
        <v>505</v>
      </c>
      <c r="H42" s="109">
        <v>97</v>
      </c>
      <c r="I42" s="110">
        <v>559</v>
      </c>
      <c r="J42" s="110">
        <f>SUM(H42:I42)</f>
        <v>656</v>
      </c>
      <c r="K42" s="111">
        <v>56</v>
      </c>
      <c r="L42" s="110">
        <v>231</v>
      </c>
      <c r="M42" s="110">
        <f>SUM(K42:L42)</f>
        <v>287</v>
      </c>
      <c r="N42" s="109">
        <f t="shared" si="15"/>
        <v>556</v>
      </c>
      <c r="O42" s="110">
        <f t="shared" si="15"/>
        <v>1204</v>
      </c>
      <c r="P42" s="110">
        <f t="shared" si="15"/>
        <v>1760</v>
      </c>
      <c r="Q42" s="109">
        <f t="shared" si="15"/>
        <v>269</v>
      </c>
      <c r="R42" s="110">
        <f t="shared" si="15"/>
        <v>523</v>
      </c>
      <c r="S42" s="110">
        <f t="shared" si="15"/>
        <v>792</v>
      </c>
      <c r="U42"/>
      <c r="V42"/>
    </row>
    <row r="43" spans="1:22" s="97" customFormat="1" ht="12" customHeight="1">
      <c r="A43" s="225" t="s">
        <v>132</v>
      </c>
      <c r="B43" s="109">
        <v>417</v>
      </c>
      <c r="C43" s="110">
        <v>531</v>
      </c>
      <c r="D43" s="110">
        <f>SUM(B43:C43)</f>
        <v>948</v>
      </c>
      <c r="E43" s="109">
        <v>158</v>
      </c>
      <c r="F43" s="110">
        <v>260</v>
      </c>
      <c r="G43" s="110">
        <f>SUM(E43:F43)</f>
        <v>418</v>
      </c>
      <c r="H43" s="109">
        <v>108</v>
      </c>
      <c r="I43" s="110">
        <v>547</v>
      </c>
      <c r="J43" s="110">
        <f>SUM(H43:I43)</f>
        <v>655</v>
      </c>
      <c r="K43" s="111">
        <v>46</v>
      </c>
      <c r="L43" s="110">
        <v>212</v>
      </c>
      <c r="M43" s="110">
        <f>SUM(K43:L43)</f>
        <v>258</v>
      </c>
      <c r="N43" s="109">
        <f aca="true" t="shared" si="16" ref="N43:S43">SUM(B43,H43)</f>
        <v>525</v>
      </c>
      <c r="O43" s="110">
        <f t="shared" si="16"/>
        <v>1078</v>
      </c>
      <c r="P43" s="110">
        <f t="shared" si="16"/>
        <v>1603</v>
      </c>
      <c r="Q43" s="109">
        <f t="shared" si="16"/>
        <v>204</v>
      </c>
      <c r="R43" s="110">
        <f t="shared" si="16"/>
        <v>472</v>
      </c>
      <c r="S43" s="110">
        <f t="shared" si="16"/>
        <v>676</v>
      </c>
      <c r="U43"/>
      <c r="V43"/>
    </row>
    <row r="44" spans="1:22" ht="12.75">
      <c r="A44" s="2"/>
      <c r="B44" s="11"/>
      <c r="C44" s="12"/>
      <c r="D44" s="12"/>
      <c r="E44" s="11"/>
      <c r="F44" s="12"/>
      <c r="G44" s="12"/>
      <c r="H44" s="11"/>
      <c r="I44" s="12"/>
      <c r="J44" s="12"/>
      <c r="K44" s="11"/>
      <c r="L44" s="12"/>
      <c r="M44" s="12"/>
      <c r="N44" s="11"/>
      <c r="O44" s="12"/>
      <c r="P44" s="12"/>
      <c r="Q44" s="11"/>
      <c r="R44" s="12"/>
      <c r="S44" s="12"/>
      <c r="U44"/>
      <c r="V44"/>
    </row>
    <row r="45" spans="1:22" s="97" customFormat="1" ht="14.25" customHeight="1">
      <c r="A45" s="94" t="s">
        <v>50</v>
      </c>
      <c r="B45" s="109"/>
      <c r="C45" s="110"/>
      <c r="D45" s="110"/>
      <c r="E45" s="109"/>
      <c r="F45" s="110"/>
      <c r="G45" s="110"/>
      <c r="H45" s="109"/>
      <c r="I45" s="110"/>
      <c r="J45" s="110"/>
      <c r="K45" s="109"/>
      <c r="L45" s="110"/>
      <c r="M45" s="110"/>
      <c r="N45" s="109"/>
      <c r="O45" s="110"/>
      <c r="P45" s="110"/>
      <c r="Q45" s="109"/>
      <c r="R45" s="110"/>
      <c r="S45" s="110"/>
      <c r="U45"/>
      <c r="V45"/>
    </row>
    <row r="46" spans="1:22" s="97" customFormat="1" ht="14.25" customHeight="1">
      <c r="A46" s="95" t="s">
        <v>52</v>
      </c>
      <c r="B46" s="84">
        <v>0</v>
      </c>
      <c r="C46" s="201">
        <v>0</v>
      </c>
      <c r="D46" s="201">
        <f>SUM(B46,C46)</f>
        <v>0</v>
      </c>
      <c r="E46" s="84">
        <v>4</v>
      </c>
      <c r="F46" s="201">
        <v>11</v>
      </c>
      <c r="G46" s="201">
        <f>SUM(E46:F46)</f>
        <v>15</v>
      </c>
      <c r="H46" s="84">
        <v>0</v>
      </c>
      <c r="I46" s="201">
        <v>0</v>
      </c>
      <c r="J46" s="201">
        <f>SUM(H46:I46)</f>
        <v>0</v>
      </c>
      <c r="K46" s="84">
        <v>2</v>
      </c>
      <c r="L46" s="201">
        <v>59</v>
      </c>
      <c r="M46" s="201">
        <f>SUM(K46:L46)</f>
        <v>61</v>
      </c>
      <c r="N46" s="84">
        <f aca="true" t="shared" si="17" ref="N46:O48">SUM(B46,H46)</f>
        <v>0</v>
      </c>
      <c r="O46" s="201">
        <f t="shared" si="17"/>
        <v>0</v>
      </c>
      <c r="P46" s="201">
        <f>SUM(N46:O46)</f>
        <v>0</v>
      </c>
      <c r="Q46" s="84">
        <f aca="true" t="shared" si="18" ref="Q46:R48">SUM(E46,K46)</f>
        <v>6</v>
      </c>
      <c r="R46" s="201">
        <f t="shared" si="18"/>
        <v>70</v>
      </c>
      <c r="S46" s="201">
        <f>SUM(Q46:R46)</f>
        <v>76</v>
      </c>
      <c r="U46"/>
      <c r="V46"/>
    </row>
    <row r="47" spans="1:22" s="97" customFormat="1" ht="12" customHeight="1">
      <c r="A47" s="225" t="s">
        <v>74</v>
      </c>
      <c r="B47" s="109">
        <v>0</v>
      </c>
      <c r="C47" s="110">
        <v>0</v>
      </c>
      <c r="D47" s="201">
        <f>SUM(B47,C47)</f>
        <v>0</v>
      </c>
      <c r="E47" s="109">
        <v>1</v>
      </c>
      <c r="F47" s="110">
        <v>20</v>
      </c>
      <c r="G47" s="201">
        <f>SUM(E47:F47)</f>
        <v>21</v>
      </c>
      <c r="H47" s="109">
        <v>0</v>
      </c>
      <c r="I47" s="110">
        <v>0</v>
      </c>
      <c r="J47" s="201">
        <f>SUM(H47:I47)</f>
        <v>0</v>
      </c>
      <c r="K47" s="111">
        <v>5</v>
      </c>
      <c r="L47" s="110">
        <v>54</v>
      </c>
      <c r="M47" s="201">
        <f>SUM(K47:L47)</f>
        <v>59</v>
      </c>
      <c r="N47" s="109">
        <f t="shared" si="17"/>
        <v>0</v>
      </c>
      <c r="O47" s="110">
        <f t="shared" si="17"/>
        <v>0</v>
      </c>
      <c r="P47" s="110">
        <f>SUM(D47,J47)</f>
        <v>0</v>
      </c>
      <c r="Q47" s="109">
        <f t="shared" si="18"/>
        <v>6</v>
      </c>
      <c r="R47" s="110">
        <f t="shared" si="18"/>
        <v>74</v>
      </c>
      <c r="S47" s="110">
        <f>SUM(G47,M47)</f>
        <v>80</v>
      </c>
      <c r="U47"/>
      <c r="V47"/>
    </row>
    <row r="48" spans="1:22" s="97" customFormat="1" ht="12" customHeight="1">
      <c r="A48" s="225" t="s">
        <v>132</v>
      </c>
      <c r="B48" s="109">
        <v>0</v>
      </c>
      <c r="C48" s="110">
        <v>0</v>
      </c>
      <c r="D48" s="201">
        <f>SUM(B48,C48)</f>
        <v>0</v>
      </c>
      <c r="E48" s="109">
        <v>2</v>
      </c>
      <c r="F48" s="110">
        <v>26</v>
      </c>
      <c r="G48" s="201">
        <f>SUM(E48:F48)</f>
        <v>28</v>
      </c>
      <c r="H48" s="109">
        <v>0</v>
      </c>
      <c r="I48" s="110">
        <v>0</v>
      </c>
      <c r="J48" s="201">
        <f>SUM(H48:I48)</f>
        <v>0</v>
      </c>
      <c r="K48" s="111">
        <v>8</v>
      </c>
      <c r="L48" s="110">
        <v>70</v>
      </c>
      <c r="M48" s="201">
        <f>SUM(K48:L48)</f>
        <v>78</v>
      </c>
      <c r="N48" s="109">
        <f t="shared" si="17"/>
        <v>0</v>
      </c>
      <c r="O48" s="110">
        <f t="shared" si="17"/>
        <v>0</v>
      </c>
      <c r="P48" s="110">
        <f>SUM(D48,J48)</f>
        <v>0</v>
      </c>
      <c r="Q48" s="109">
        <f t="shared" si="18"/>
        <v>10</v>
      </c>
      <c r="R48" s="110">
        <f t="shared" si="18"/>
        <v>96</v>
      </c>
      <c r="S48" s="110">
        <f>SUM(G48,M48)</f>
        <v>106</v>
      </c>
      <c r="U48"/>
      <c r="V48"/>
    </row>
    <row r="49" spans="1:22" ht="12.75">
      <c r="A49" s="2"/>
      <c r="B49" s="11"/>
      <c r="C49" s="12"/>
      <c r="D49" s="12"/>
      <c r="E49" s="11"/>
      <c r="F49" s="12"/>
      <c r="G49" s="12"/>
      <c r="H49" s="11"/>
      <c r="I49" s="12"/>
      <c r="J49" s="12"/>
      <c r="K49" s="11"/>
      <c r="L49" s="12"/>
      <c r="M49" s="12"/>
      <c r="N49" s="11"/>
      <c r="O49" s="12"/>
      <c r="P49" s="12"/>
      <c r="Q49" s="11"/>
      <c r="R49" s="12"/>
      <c r="S49" s="12"/>
      <c r="U49"/>
      <c r="V49"/>
    </row>
    <row r="50" spans="1:22" ht="12.75">
      <c r="A50" s="1" t="s">
        <v>46</v>
      </c>
      <c r="B50" s="11"/>
      <c r="C50" s="12"/>
      <c r="D50" s="12"/>
      <c r="E50" s="11"/>
      <c r="F50" s="12"/>
      <c r="G50" s="12"/>
      <c r="H50" s="11"/>
      <c r="I50" s="12"/>
      <c r="J50" s="12"/>
      <c r="K50" s="11"/>
      <c r="L50" s="12"/>
      <c r="M50" s="12"/>
      <c r="N50" s="11"/>
      <c r="O50" s="12"/>
      <c r="P50" s="12"/>
      <c r="Q50" s="11"/>
      <c r="R50" s="12"/>
      <c r="S50" s="12"/>
      <c r="U50"/>
      <c r="V50"/>
    </row>
    <row r="51" spans="1:22" s="97" customFormat="1" ht="12.75">
      <c r="A51" s="95" t="s">
        <v>44</v>
      </c>
      <c r="B51" s="109">
        <v>33</v>
      </c>
      <c r="C51" s="110">
        <v>114</v>
      </c>
      <c r="D51" s="110">
        <f>SUM(B51:C51)</f>
        <v>147</v>
      </c>
      <c r="E51" s="109">
        <v>12</v>
      </c>
      <c r="F51" s="110">
        <v>45</v>
      </c>
      <c r="G51" s="110">
        <f>SUM(E51:F51)</f>
        <v>57</v>
      </c>
      <c r="H51" s="109">
        <v>7</v>
      </c>
      <c r="I51" s="110">
        <v>101</v>
      </c>
      <c r="J51" s="110">
        <f>SUM(H51:I51)</f>
        <v>108</v>
      </c>
      <c r="K51" s="111">
        <v>17</v>
      </c>
      <c r="L51" s="110">
        <v>86</v>
      </c>
      <c r="M51" s="110">
        <f>SUM(K51:L51)</f>
        <v>103</v>
      </c>
      <c r="N51" s="109">
        <f aca="true" t="shared" si="19" ref="N51:P53">SUM(B51,H51)</f>
        <v>40</v>
      </c>
      <c r="O51" s="110">
        <f t="shared" si="19"/>
        <v>215</v>
      </c>
      <c r="P51" s="110">
        <f t="shared" si="19"/>
        <v>255</v>
      </c>
      <c r="Q51" s="109">
        <f aca="true" t="shared" si="20" ref="Q51:S53">SUM(E51,K51)</f>
        <v>29</v>
      </c>
      <c r="R51" s="110">
        <f t="shared" si="20"/>
        <v>131</v>
      </c>
      <c r="S51" s="110">
        <f t="shared" si="20"/>
        <v>160</v>
      </c>
      <c r="U51"/>
      <c r="V51"/>
    </row>
    <row r="52" spans="1:22" s="97" customFormat="1" ht="12.75">
      <c r="A52" s="95" t="s">
        <v>52</v>
      </c>
      <c r="B52" s="109">
        <v>42</v>
      </c>
      <c r="C52" s="110">
        <v>151</v>
      </c>
      <c r="D52" s="110">
        <f>SUM(B52:C52)</f>
        <v>193</v>
      </c>
      <c r="E52" s="109">
        <v>43</v>
      </c>
      <c r="F52" s="110">
        <v>118</v>
      </c>
      <c r="G52" s="110">
        <f>SUM(E52:F52)</f>
        <v>161</v>
      </c>
      <c r="H52" s="109">
        <v>5</v>
      </c>
      <c r="I52" s="110">
        <v>120</v>
      </c>
      <c r="J52" s="110">
        <f>SUM(H52:I52)</f>
        <v>125</v>
      </c>
      <c r="K52" s="111">
        <v>35</v>
      </c>
      <c r="L52" s="110">
        <v>102</v>
      </c>
      <c r="M52" s="110">
        <f>SUM(K52:L52)</f>
        <v>137</v>
      </c>
      <c r="N52" s="109">
        <f t="shared" si="19"/>
        <v>47</v>
      </c>
      <c r="O52" s="110">
        <f t="shared" si="19"/>
        <v>271</v>
      </c>
      <c r="P52" s="110">
        <f t="shared" si="19"/>
        <v>318</v>
      </c>
      <c r="Q52" s="109">
        <f t="shared" si="20"/>
        <v>78</v>
      </c>
      <c r="R52" s="110">
        <f t="shared" si="20"/>
        <v>220</v>
      </c>
      <c r="S52" s="110">
        <f t="shared" si="20"/>
        <v>298</v>
      </c>
      <c r="U52"/>
      <c r="V52"/>
    </row>
    <row r="53" spans="1:22" s="97" customFormat="1" ht="12" customHeight="1">
      <c r="A53" s="225" t="s">
        <v>74</v>
      </c>
      <c r="B53" s="109">
        <v>59</v>
      </c>
      <c r="C53" s="110">
        <v>204</v>
      </c>
      <c r="D53" s="110">
        <f>SUM(B53:C53)</f>
        <v>263</v>
      </c>
      <c r="E53" s="109">
        <v>25</v>
      </c>
      <c r="F53" s="110">
        <v>69</v>
      </c>
      <c r="G53" s="110">
        <f>SUM(E53:F53)</f>
        <v>94</v>
      </c>
      <c r="H53" s="109">
        <v>15</v>
      </c>
      <c r="I53" s="110">
        <v>168</v>
      </c>
      <c r="J53" s="110">
        <f>SUM(H53:I53)</f>
        <v>183</v>
      </c>
      <c r="K53" s="111">
        <v>33</v>
      </c>
      <c r="L53" s="110">
        <v>101</v>
      </c>
      <c r="M53" s="110">
        <f>SUM(K53:L53)</f>
        <v>134</v>
      </c>
      <c r="N53" s="109">
        <f t="shared" si="19"/>
        <v>74</v>
      </c>
      <c r="O53" s="110">
        <f t="shared" si="19"/>
        <v>372</v>
      </c>
      <c r="P53" s="110">
        <f t="shared" si="19"/>
        <v>446</v>
      </c>
      <c r="Q53" s="109">
        <f t="shared" si="20"/>
        <v>58</v>
      </c>
      <c r="R53" s="110">
        <f t="shared" si="20"/>
        <v>170</v>
      </c>
      <c r="S53" s="110">
        <f t="shared" si="20"/>
        <v>228</v>
      </c>
      <c r="U53"/>
      <c r="V53"/>
    </row>
    <row r="54" spans="1:22" s="97" customFormat="1" ht="12" customHeight="1">
      <c r="A54" s="225" t="s">
        <v>132</v>
      </c>
      <c r="B54" s="109">
        <v>61</v>
      </c>
      <c r="C54" s="110">
        <v>227</v>
      </c>
      <c r="D54" s="110">
        <f>SUM(B54:C54)</f>
        <v>288</v>
      </c>
      <c r="E54" s="109">
        <v>29</v>
      </c>
      <c r="F54" s="110">
        <v>85</v>
      </c>
      <c r="G54" s="110">
        <f>SUM(E54:F54)</f>
        <v>114</v>
      </c>
      <c r="H54" s="109">
        <v>19</v>
      </c>
      <c r="I54" s="110">
        <v>164</v>
      </c>
      <c r="J54" s="110">
        <f>SUM(H54:I54)</f>
        <v>183</v>
      </c>
      <c r="K54" s="111">
        <v>23</v>
      </c>
      <c r="L54" s="110">
        <v>113</v>
      </c>
      <c r="M54" s="110">
        <f>SUM(K54:L54)</f>
        <v>136</v>
      </c>
      <c r="N54" s="109">
        <f aca="true" t="shared" si="21" ref="N54:S54">SUM(B54,H54)</f>
        <v>80</v>
      </c>
      <c r="O54" s="110">
        <f t="shared" si="21"/>
        <v>391</v>
      </c>
      <c r="P54" s="110">
        <f t="shared" si="21"/>
        <v>471</v>
      </c>
      <c r="Q54" s="109">
        <f t="shared" si="21"/>
        <v>52</v>
      </c>
      <c r="R54" s="110">
        <f t="shared" si="21"/>
        <v>198</v>
      </c>
      <c r="S54" s="110">
        <f t="shared" si="21"/>
        <v>250</v>
      </c>
      <c r="U54"/>
      <c r="V54"/>
    </row>
    <row r="55" spans="1:22" ht="12.75">
      <c r="A55" s="2"/>
      <c r="B55" s="11"/>
      <c r="C55" s="12"/>
      <c r="D55" s="12"/>
      <c r="E55" s="13"/>
      <c r="F55" s="12"/>
      <c r="G55" s="12"/>
      <c r="H55" s="11"/>
      <c r="I55" s="12"/>
      <c r="J55" s="12"/>
      <c r="K55" s="11"/>
      <c r="L55" s="12"/>
      <c r="M55" s="12"/>
      <c r="N55" s="11"/>
      <c r="O55" s="12"/>
      <c r="P55" s="12"/>
      <c r="Q55" s="11"/>
      <c r="R55" s="12"/>
      <c r="S55" s="12"/>
      <c r="U55"/>
      <c r="V55"/>
    </row>
    <row r="56" spans="1:22" ht="12.75">
      <c r="A56" s="1" t="s">
        <v>47</v>
      </c>
      <c r="B56" s="11"/>
      <c r="C56" s="12"/>
      <c r="D56" s="12"/>
      <c r="E56" s="11"/>
      <c r="F56" s="12"/>
      <c r="G56" s="12"/>
      <c r="H56" s="11"/>
      <c r="I56" s="12"/>
      <c r="J56" s="12"/>
      <c r="K56" s="11"/>
      <c r="L56" s="12"/>
      <c r="M56" s="12"/>
      <c r="N56" s="11"/>
      <c r="O56" s="12"/>
      <c r="P56" s="12"/>
      <c r="Q56" s="11"/>
      <c r="R56" s="12"/>
      <c r="S56" s="12"/>
      <c r="U56"/>
      <c r="V56"/>
    </row>
    <row r="57" spans="1:22" s="97" customFormat="1" ht="12.75">
      <c r="A57" s="95" t="s">
        <v>44</v>
      </c>
      <c r="B57" s="109">
        <v>2</v>
      </c>
      <c r="C57" s="110">
        <v>8</v>
      </c>
      <c r="D57" s="110">
        <f>SUM(B57:C57)</f>
        <v>10</v>
      </c>
      <c r="E57" s="109">
        <v>2</v>
      </c>
      <c r="F57" s="110">
        <v>5</v>
      </c>
      <c r="G57" s="110">
        <f>SUM(E57:F57)</f>
        <v>7</v>
      </c>
      <c r="H57" s="109">
        <v>0</v>
      </c>
      <c r="I57" s="110">
        <v>10</v>
      </c>
      <c r="J57" s="110">
        <f>SUM(H57:I57)</f>
        <v>10</v>
      </c>
      <c r="K57" s="111">
        <v>2</v>
      </c>
      <c r="L57" s="110">
        <v>8</v>
      </c>
      <c r="M57" s="110">
        <f>SUM(K57:L57)</f>
        <v>10</v>
      </c>
      <c r="N57" s="109">
        <f aca="true" t="shared" si="22" ref="N57:O59">SUM(B57,H57)</f>
        <v>2</v>
      </c>
      <c r="O57" s="110">
        <f t="shared" si="22"/>
        <v>18</v>
      </c>
      <c r="P57" s="110">
        <f aca="true" t="shared" si="23" ref="P57:R59">SUM(D57,J57)</f>
        <v>20</v>
      </c>
      <c r="Q57" s="109">
        <f t="shared" si="23"/>
        <v>4</v>
      </c>
      <c r="R57" s="110">
        <f t="shared" si="23"/>
        <v>13</v>
      </c>
      <c r="S57" s="110">
        <f>SUM(G57,M57)</f>
        <v>17</v>
      </c>
      <c r="U57"/>
      <c r="V57"/>
    </row>
    <row r="58" spans="1:22" s="97" customFormat="1" ht="11.25" customHeight="1">
      <c r="A58" s="95" t="s">
        <v>52</v>
      </c>
      <c r="B58" s="109">
        <v>3</v>
      </c>
      <c r="C58" s="110">
        <v>10</v>
      </c>
      <c r="D58" s="110">
        <f>SUM(B58:C58)</f>
        <v>13</v>
      </c>
      <c r="E58" s="109">
        <v>2</v>
      </c>
      <c r="F58" s="110">
        <v>4</v>
      </c>
      <c r="G58" s="110">
        <f>SUM(E58:F58)</f>
        <v>6</v>
      </c>
      <c r="H58" s="109">
        <v>1</v>
      </c>
      <c r="I58" s="110">
        <v>13</v>
      </c>
      <c r="J58" s="110">
        <f>SUM(H58:I58)</f>
        <v>14</v>
      </c>
      <c r="K58" s="111">
        <v>3</v>
      </c>
      <c r="L58" s="110">
        <v>12</v>
      </c>
      <c r="M58" s="110">
        <f>SUM(K58:L58)</f>
        <v>15</v>
      </c>
      <c r="N58" s="109">
        <f t="shared" si="22"/>
        <v>4</v>
      </c>
      <c r="O58" s="110">
        <f t="shared" si="22"/>
        <v>23</v>
      </c>
      <c r="P58" s="110">
        <f t="shared" si="23"/>
        <v>27</v>
      </c>
      <c r="Q58" s="109">
        <f t="shared" si="23"/>
        <v>5</v>
      </c>
      <c r="R58" s="110">
        <f t="shared" si="23"/>
        <v>16</v>
      </c>
      <c r="S58" s="110">
        <f>SUM(G58,M58)</f>
        <v>21</v>
      </c>
      <c r="U58"/>
      <c r="V58"/>
    </row>
    <row r="59" spans="1:22" s="97" customFormat="1" ht="12" customHeight="1">
      <c r="A59" s="225" t="s">
        <v>74</v>
      </c>
      <c r="B59" s="109">
        <v>5</v>
      </c>
      <c r="C59" s="110">
        <v>15</v>
      </c>
      <c r="D59" s="110">
        <f>SUM(B59:C59)</f>
        <v>20</v>
      </c>
      <c r="E59" s="109">
        <v>0</v>
      </c>
      <c r="F59" s="110">
        <v>3</v>
      </c>
      <c r="G59" s="110">
        <f>SUM(E59:F59)</f>
        <v>3</v>
      </c>
      <c r="H59" s="109">
        <v>1</v>
      </c>
      <c r="I59" s="110">
        <v>16</v>
      </c>
      <c r="J59" s="110">
        <f>SUM(H59:I59)</f>
        <v>17</v>
      </c>
      <c r="K59" s="111">
        <v>0</v>
      </c>
      <c r="L59" s="110">
        <v>6</v>
      </c>
      <c r="M59" s="110">
        <f>SUM(K59:L59)</f>
        <v>6</v>
      </c>
      <c r="N59" s="109">
        <f t="shared" si="22"/>
        <v>6</v>
      </c>
      <c r="O59" s="110">
        <f t="shared" si="22"/>
        <v>31</v>
      </c>
      <c r="P59" s="110">
        <f t="shared" si="23"/>
        <v>37</v>
      </c>
      <c r="Q59" s="109">
        <f t="shared" si="23"/>
        <v>0</v>
      </c>
      <c r="R59" s="110">
        <f t="shared" si="23"/>
        <v>9</v>
      </c>
      <c r="S59" s="110">
        <f>SUM(G59,M59)</f>
        <v>9</v>
      </c>
      <c r="U59"/>
      <c r="V59"/>
    </row>
    <row r="60" spans="1:22" s="97" customFormat="1" ht="12" customHeight="1">
      <c r="A60" s="225" t="s">
        <v>132</v>
      </c>
      <c r="B60" s="109">
        <v>1</v>
      </c>
      <c r="C60" s="110">
        <v>14</v>
      </c>
      <c r="D60" s="110">
        <f>SUM(B60:C60)</f>
        <v>15</v>
      </c>
      <c r="E60" s="109">
        <v>1</v>
      </c>
      <c r="F60" s="110">
        <v>7</v>
      </c>
      <c r="G60" s="110">
        <f>SUM(E60:F60)</f>
        <v>8</v>
      </c>
      <c r="H60" s="109">
        <v>2</v>
      </c>
      <c r="I60" s="110">
        <v>12</v>
      </c>
      <c r="J60" s="110">
        <f>SUM(H60:I60)</f>
        <v>14</v>
      </c>
      <c r="K60" s="111">
        <v>1</v>
      </c>
      <c r="L60" s="110">
        <v>9</v>
      </c>
      <c r="M60" s="110">
        <f>SUM(K60:L60)</f>
        <v>10</v>
      </c>
      <c r="N60" s="109">
        <f>SUM(B60,H60)</f>
        <v>3</v>
      </c>
      <c r="O60" s="110">
        <f>SUM(C60,I60)</f>
        <v>26</v>
      </c>
      <c r="P60" s="110">
        <f>SUM(D60,J60)</f>
        <v>29</v>
      </c>
      <c r="Q60" s="109">
        <f>SUM(E60,K60)</f>
        <v>2</v>
      </c>
      <c r="R60" s="110">
        <f>SUM(F60,L60)</f>
        <v>16</v>
      </c>
      <c r="S60" s="110">
        <f>SUM(G60,M60)</f>
        <v>18</v>
      </c>
      <c r="U60"/>
      <c r="V60"/>
    </row>
    <row r="61" spans="1:22" s="97" customFormat="1" ht="12" customHeight="1">
      <c r="A61" s="225"/>
      <c r="B61" s="109"/>
      <c r="C61" s="110"/>
      <c r="D61" s="110"/>
      <c r="E61" s="109"/>
      <c r="F61" s="110"/>
      <c r="G61" s="110"/>
      <c r="H61" s="109"/>
      <c r="I61" s="110"/>
      <c r="J61" s="110"/>
      <c r="K61" s="111"/>
      <c r="L61" s="110"/>
      <c r="M61" s="110"/>
      <c r="N61" s="109"/>
      <c r="O61" s="110"/>
      <c r="P61" s="110"/>
      <c r="Q61" s="109"/>
      <c r="R61" s="110"/>
      <c r="S61" s="110"/>
      <c r="U61"/>
      <c r="V61"/>
    </row>
    <row r="62" spans="1:22" ht="12.75">
      <c r="A62" s="1" t="s">
        <v>15</v>
      </c>
      <c r="B62" s="11"/>
      <c r="C62" s="12"/>
      <c r="D62" s="12"/>
      <c r="E62" s="11"/>
      <c r="F62" s="12"/>
      <c r="G62" s="12"/>
      <c r="H62" s="11"/>
      <c r="I62" s="12"/>
      <c r="J62" s="12"/>
      <c r="K62" s="11"/>
      <c r="L62" s="12"/>
      <c r="M62" s="12"/>
      <c r="N62" s="11"/>
      <c r="O62" s="12"/>
      <c r="P62" s="12"/>
      <c r="Q62" s="11"/>
      <c r="R62" s="12"/>
      <c r="S62" s="12"/>
      <c r="U62"/>
      <c r="V62"/>
    </row>
    <row r="63" spans="1:22" s="97" customFormat="1" ht="12.75">
      <c r="A63" s="95" t="s">
        <v>44</v>
      </c>
      <c r="B63" s="109">
        <v>12</v>
      </c>
      <c r="C63" s="110">
        <v>15</v>
      </c>
      <c r="D63" s="110">
        <f>SUM(B63:C63)</f>
        <v>27</v>
      </c>
      <c r="E63" s="109">
        <v>0</v>
      </c>
      <c r="F63" s="110">
        <v>2</v>
      </c>
      <c r="G63" s="110">
        <f>SUM(E63:F63)</f>
        <v>2</v>
      </c>
      <c r="H63" s="109">
        <v>23</v>
      </c>
      <c r="I63" s="110">
        <v>110</v>
      </c>
      <c r="J63" s="110">
        <f>SUM(H63:I63)</f>
        <v>133</v>
      </c>
      <c r="K63" s="111">
        <v>25</v>
      </c>
      <c r="L63" s="110">
        <v>59</v>
      </c>
      <c r="M63" s="110">
        <f>SUM(K63:L63)</f>
        <v>84</v>
      </c>
      <c r="N63" s="109">
        <f aca="true" t="shared" si="24" ref="N63:S63">SUM(B63,H63)</f>
        <v>35</v>
      </c>
      <c r="O63" s="110">
        <f t="shared" si="24"/>
        <v>125</v>
      </c>
      <c r="P63" s="110">
        <f t="shared" si="24"/>
        <v>160</v>
      </c>
      <c r="Q63" s="109">
        <f t="shared" si="24"/>
        <v>25</v>
      </c>
      <c r="R63" s="110">
        <f t="shared" si="24"/>
        <v>61</v>
      </c>
      <c r="S63" s="110">
        <f t="shared" si="24"/>
        <v>86</v>
      </c>
      <c r="U63"/>
      <c r="V63"/>
    </row>
    <row r="64" spans="1:22" s="97" customFormat="1" ht="12.75">
      <c r="A64" s="95" t="s">
        <v>52</v>
      </c>
      <c r="B64" s="109">
        <v>17</v>
      </c>
      <c r="C64" s="110">
        <v>26</v>
      </c>
      <c r="D64" s="110">
        <f>SUM(B64:C64)</f>
        <v>43</v>
      </c>
      <c r="E64" s="109">
        <v>7</v>
      </c>
      <c r="F64" s="110">
        <v>2</v>
      </c>
      <c r="G64" s="110">
        <f>SUM(E64:F64)</f>
        <v>9</v>
      </c>
      <c r="H64" s="109">
        <v>25</v>
      </c>
      <c r="I64" s="110">
        <v>124</v>
      </c>
      <c r="J64" s="110">
        <f>SUM(H64:I64)</f>
        <v>149</v>
      </c>
      <c r="K64" s="111">
        <v>36</v>
      </c>
      <c r="L64" s="110">
        <v>95</v>
      </c>
      <c r="M64" s="110">
        <f>SUM(K64:L64)</f>
        <v>131</v>
      </c>
      <c r="N64" s="109">
        <f aca="true" t="shared" si="25" ref="N64:S65">SUM(B64,H64)</f>
        <v>42</v>
      </c>
      <c r="O64" s="110">
        <f t="shared" si="25"/>
        <v>150</v>
      </c>
      <c r="P64" s="110">
        <f t="shared" si="25"/>
        <v>192</v>
      </c>
      <c r="Q64" s="109">
        <f t="shared" si="25"/>
        <v>43</v>
      </c>
      <c r="R64" s="110">
        <f t="shared" si="25"/>
        <v>97</v>
      </c>
      <c r="S64" s="110">
        <f t="shared" si="25"/>
        <v>140</v>
      </c>
      <c r="U64"/>
      <c r="V64"/>
    </row>
    <row r="65" spans="1:22" s="97" customFormat="1" ht="12" customHeight="1">
      <c r="A65" s="225" t="s">
        <v>74</v>
      </c>
      <c r="B65" s="109">
        <v>20</v>
      </c>
      <c r="C65" s="110">
        <v>28</v>
      </c>
      <c r="D65" s="110">
        <f>SUM(B65:C65)</f>
        <v>48</v>
      </c>
      <c r="E65" s="109">
        <v>1</v>
      </c>
      <c r="F65" s="110">
        <v>7</v>
      </c>
      <c r="G65" s="110">
        <f>SUM(E65:F65)</f>
        <v>8</v>
      </c>
      <c r="H65" s="109">
        <v>30</v>
      </c>
      <c r="I65" s="110">
        <v>146</v>
      </c>
      <c r="J65" s="110">
        <f>SUM(H65:I65)</f>
        <v>176</v>
      </c>
      <c r="K65" s="111">
        <v>28</v>
      </c>
      <c r="L65" s="110">
        <v>81</v>
      </c>
      <c r="M65" s="110">
        <f>SUM(K65:L65)</f>
        <v>109</v>
      </c>
      <c r="N65" s="109">
        <f t="shared" si="25"/>
        <v>50</v>
      </c>
      <c r="O65" s="110">
        <f t="shared" si="25"/>
        <v>174</v>
      </c>
      <c r="P65" s="110">
        <f t="shared" si="25"/>
        <v>224</v>
      </c>
      <c r="Q65" s="109">
        <f t="shared" si="25"/>
        <v>29</v>
      </c>
      <c r="R65" s="110">
        <f t="shared" si="25"/>
        <v>88</v>
      </c>
      <c r="S65" s="110">
        <f t="shared" si="25"/>
        <v>117</v>
      </c>
      <c r="U65"/>
      <c r="V65"/>
    </row>
    <row r="66" spans="1:22" s="97" customFormat="1" ht="12" customHeight="1">
      <c r="A66" s="225" t="s">
        <v>132</v>
      </c>
      <c r="B66" s="109">
        <v>26</v>
      </c>
      <c r="C66" s="110">
        <v>48</v>
      </c>
      <c r="D66" s="110">
        <f>SUM(B66:C66)</f>
        <v>74</v>
      </c>
      <c r="E66" s="109">
        <v>6</v>
      </c>
      <c r="F66" s="110">
        <v>8</v>
      </c>
      <c r="G66" s="110">
        <f>SUM(E66:F66)</f>
        <v>14</v>
      </c>
      <c r="H66" s="109">
        <v>19</v>
      </c>
      <c r="I66" s="110">
        <v>121</v>
      </c>
      <c r="J66" s="110">
        <f>SUM(H66:I66)</f>
        <v>140</v>
      </c>
      <c r="K66" s="111">
        <v>27</v>
      </c>
      <c r="L66" s="110">
        <v>82</v>
      </c>
      <c r="M66" s="110">
        <f>SUM(K66:L66)</f>
        <v>109</v>
      </c>
      <c r="N66" s="109">
        <f aca="true" t="shared" si="26" ref="N66:S66">SUM(B66,H66)</f>
        <v>45</v>
      </c>
      <c r="O66" s="110">
        <f t="shared" si="26"/>
        <v>169</v>
      </c>
      <c r="P66" s="110">
        <f t="shared" si="26"/>
        <v>214</v>
      </c>
      <c r="Q66" s="109">
        <f t="shared" si="26"/>
        <v>33</v>
      </c>
      <c r="R66" s="110">
        <f t="shared" si="26"/>
        <v>90</v>
      </c>
      <c r="S66" s="110">
        <f t="shared" si="26"/>
        <v>123</v>
      </c>
      <c r="U66"/>
      <c r="V66"/>
    </row>
    <row r="67" spans="1:22" ht="12.75">
      <c r="A67" s="19"/>
      <c r="B67" s="23"/>
      <c r="C67" s="24"/>
      <c r="D67" s="24"/>
      <c r="E67" s="23"/>
      <c r="F67" s="24"/>
      <c r="G67" s="24"/>
      <c r="H67" s="23"/>
      <c r="I67" s="24"/>
      <c r="J67" s="24"/>
      <c r="K67" s="23"/>
      <c r="L67" s="24"/>
      <c r="M67" s="24"/>
      <c r="N67" s="23"/>
      <c r="O67" s="24"/>
      <c r="P67" s="24"/>
      <c r="Q67" s="23"/>
      <c r="R67" s="24"/>
      <c r="S67" s="24"/>
      <c r="U67"/>
      <c r="V67"/>
    </row>
    <row r="68" spans="1:22" ht="12.75">
      <c r="A68" s="1" t="s">
        <v>41</v>
      </c>
      <c r="B68" s="11"/>
      <c r="C68" s="12"/>
      <c r="D68" s="12"/>
      <c r="E68" s="11"/>
      <c r="F68" s="12"/>
      <c r="G68" s="12"/>
      <c r="H68" s="11"/>
      <c r="I68" s="12"/>
      <c r="J68" s="12"/>
      <c r="K68" s="11"/>
      <c r="L68" s="12"/>
      <c r="M68" s="12"/>
      <c r="N68" s="11"/>
      <c r="O68" s="12"/>
      <c r="P68" s="12"/>
      <c r="Q68" s="11"/>
      <c r="R68" s="12"/>
      <c r="S68" s="12"/>
      <c r="U68"/>
      <c r="V68"/>
    </row>
    <row r="69" spans="1:22" s="97" customFormat="1" ht="12.75">
      <c r="A69" s="95" t="s">
        <v>44</v>
      </c>
      <c r="B69" s="109">
        <v>756</v>
      </c>
      <c r="C69" s="110">
        <v>987</v>
      </c>
      <c r="D69" s="110">
        <f>SUM(B69:C69)</f>
        <v>1743</v>
      </c>
      <c r="E69" s="109">
        <v>145</v>
      </c>
      <c r="F69" s="110">
        <v>603</v>
      </c>
      <c r="G69" s="110">
        <f>SUM(E69:F69)</f>
        <v>748</v>
      </c>
      <c r="H69" s="109">
        <v>151</v>
      </c>
      <c r="I69" s="110">
        <v>1390</v>
      </c>
      <c r="J69" s="110">
        <f>SUM(H69:I69)</f>
        <v>1541</v>
      </c>
      <c r="K69" s="111">
        <v>53</v>
      </c>
      <c r="L69" s="110">
        <v>662</v>
      </c>
      <c r="M69" s="110">
        <f>SUM(K69:L69)</f>
        <v>715</v>
      </c>
      <c r="N69" s="109">
        <f>SUM(B69,H69)</f>
        <v>907</v>
      </c>
      <c r="O69" s="110">
        <f aca="true" t="shared" si="27" ref="O69:S71">SUM(C69,I69)</f>
        <v>2377</v>
      </c>
      <c r="P69" s="110">
        <f t="shared" si="27"/>
        <v>3284</v>
      </c>
      <c r="Q69" s="109">
        <f t="shared" si="27"/>
        <v>198</v>
      </c>
      <c r="R69" s="110">
        <f t="shared" si="27"/>
        <v>1265</v>
      </c>
      <c r="S69" s="110">
        <f t="shared" si="27"/>
        <v>1463</v>
      </c>
      <c r="U69"/>
      <c r="V69"/>
    </row>
    <row r="70" spans="1:22" s="97" customFormat="1" ht="12.75">
      <c r="A70" s="95" t="s">
        <v>52</v>
      </c>
      <c r="B70" s="109">
        <v>844</v>
      </c>
      <c r="C70" s="110">
        <v>1436</v>
      </c>
      <c r="D70" s="110">
        <f>SUM(B70:C70)</f>
        <v>2280</v>
      </c>
      <c r="E70" s="109">
        <v>287</v>
      </c>
      <c r="F70" s="110">
        <v>808</v>
      </c>
      <c r="G70" s="110">
        <f>SUM(E70:F70)</f>
        <v>1095</v>
      </c>
      <c r="H70" s="109">
        <v>166</v>
      </c>
      <c r="I70" s="110">
        <v>1664</v>
      </c>
      <c r="J70" s="110">
        <f>SUM(H70:I70)</f>
        <v>1830</v>
      </c>
      <c r="K70" s="111">
        <v>134</v>
      </c>
      <c r="L70" s="110">
        <v>884</v>
      </c>
      <c r="M70" s="110">
        <f>SUM(K70:L70)</f>
        <v>1018</v>
      </c>
      <c r="N70" s="109">
        <f>SUM(B70,H70)</f>
        <v>1010</v>
      </c>
      <c r="O70" s="110">
        <f t="shared" si="27"/>
        <v>3100</v>
      </c>
      <c r="P70" s="110">
        <f t="shared" si="27"/>
        <v>4110</v>
      </c>
      <c r="Q70" s="109">
        <f t="shared" si="27"/>
        <v>421</v>
      </c>
      <c r="R70" s="110">
        <f t="shared" si="27"/>
        <v>1692</v>
      </c>
      <c r="S70" s="110">
        <f t="shared" si="27"/>
        <v>2113</v>
      </c>
      <c r="U70"/>
      <c r="V70"/>
    </row>
    <row r="71" spans="1:22" s="97" customFormat="1" ht="12" customHeight="1">
      <c r="A71" s="225" t="s">
        <v>74</v>
      </c>
      <c r="B71" s="109">
        <v>798</v>
      </c>
      <c r="C71" s="110">
        <v>1510</v>
      </c>
      <c r="D71" s="110">
        <f>SUM(B71:C71)</f>
        <v>2308</v>
      </c>
      <c r="E71" s="109">
        <v>221</v>
      </c>
      <c r="F71" s="110">
        <v>713</v>
      </c>
      <c r="G71" s="110">
        <f>SUM(E71:F71)</f>
        <v>934</v>
      </c>
      <c r="H71" s="109">
        <v>176</v>
      </c>
      <c r="I71" s="110">
        <v>1782</v>
      </c>
      <c r="J71" s="110">
        <f>SUM(H71:I71)</f>
        <v>1958</v>
      </c>
      <c r="K71" s="111">
        <v>119</v>
      </c>
      <c r="L71" s="110">
        <v>950</v>
      </c>
      <c r="M71" s="110">
        <f>SUM(K71:L71)</f>
        <v>1069</v>
      </c>
      <c r="N71" s="109">
        <f>SUM(B71,H71)</f>
        <v>974</v>
      </c>
      <c r="O71" s="110">
        <f t="shared" si="27"/>
        <v>3292</v>
      </c>
      <c r="P71" s="110">
        <f t="shared" si="27"/>
        <v>4266</v>
      </c>
      <c r="Q71" s="109">
        <f t="shared" si="27"/>
        <v>340</v>
      </c>
      <c r="R71" s="110">
        <f t="shared" si="27"/>
        <v>1663</v>
      </c>
      <c r="S71" s="110">
        <f t="shared" si="27"/>
        <v>2003</v>
      </c>
      <c r="U71"/>
      <c r="V71"/>
    </row>
    <row r="72" spans="1:22" s="97" customFormat="1" ht="12" customHeight="1">
      <c r="A72" s="225" t="s">
        <v>132</v>
      </c>
      <c r="B72" s="109">
        <v>741</v>
      </c>
      <c r="C72" s="110">
        <v>1449</v>
      </c>
      <c r="D72" s="207">
        <f>SUM(B72:C72)</f>
        <v>2190</v>
      </c>
      <c r="E72" s="162">
        <v>226</v>
      </c>
      <c r="F72" s="110">
        <v>701</v>
      </c>
      <c r="G72" s="207">
        <f>SUM(E72:F72)</f>
        <v>927</v>
      </c>
      <c r="H72" s="162">
        <v>181</v>
      </c>
      <c r="I72" s="110">
        <v>1883</v>
      </c>
      <c r="J72" s="207">
        <f>SUM(H72:I72)</f>
        <v>2064</v>
      </c>
      <c r="K72" s="163">
        <v>123</v>
      </c>
      <c r="L72" s="110">
        <v>944</v>
      </c>
      <c r="M72" s="110">
        <f>SUM(K72:L72)</f>
        <v>1067</v>
      </c>
      <c r="N72" s="109">
        <f>SUM(B72,H72)</f>
        <v>922</v>
      </c>
      <c r="O72" s="110">
        <f>SUM(C72,I72)</f>
        <v>3332</v>
      </c>
      <c r="P72" s="110">
        <f>SUM(D72,J72)</f>
        <v>4254</v>
      </c>
      <c r="Q72" s="109">
        <f>SUM(E72,K72)</f>
        <v>349</v>
      </c>
      <c r="R72" s="110">
        <f>SUM(F72,L72)</f>
        <v>1645</v>
      </c>
      <c r="S72" s="110">
        <f>SUM(G72,M72)</f>
        <v>1994</v>
      </c>
      <c r="U72"/>
      <c r="V72"/>
    </row>
    <row r="73" ht="12.75" customHeight="1"/>
    <row r="74" spans="1:19" ht="12.75">
      <c r="A74" s="222" t="s">
        <v>64</v>
      </c>
      <c r="B74" s="12"/>
      <c r="C74" s="12"/>
      <c r="D74" s="12"/>
      <c r="E74" s="12"/>
      <c r="F74" s="12"/>
      <c r="G74" s="12"/>
      <c r="H74" s="12"/>
      <c r="I74" s="12"/>
      <c r="J74" s="12"/>
      <c r="K74" s="12"/>
      <c r="L74" s="12"/>
      <c r="M74" s="12"/>
      <c r="N74" s="12"/>
      <c r="O74" s="12"/>
      <c r="P74" s="12"/>
      <c r="Q74" s="12"/>
      <c r="R74" s="12"/>
      <c r="S74" s="12"/>
    </row>
    <row r="75" spans="1:19" ht="12.75">
      <c r="A75" s="184" t="s">
        <v>21</v>
      </c>
      <c r="B75" s="12"/>
      <c r="C75" s="12"/>
      <c r="D75" s="12"/>
      <c r="E75" s="12"/>
      <c r="F75" s="12"/>
      <c r="G75" s="12"/>
      <c r="H75" s="12"/>
      <c r="I75" s="12"/>
      <c r="J75" s="12"/>
      <c r="K75" s="12"/>
      <c r="L75" s="12"/>
      <c r="M75" s="12"/>
      <c r="N75" s="12"/>
      <c r="O75" s="12"/>
      <c r="P75" s="12"/>
      <c r="Q75" s="12"/>
      <c r="R75" s="12"/>
      <c r="S75" s="12"/>
    </row>
    <row r="76" spans="1:19" ht="12.75">
      <c r="A76" s="216"/>
      <c r="B76" s="12"/>
      <c r="C76" s="12"/>
      <c r="D76" s="12"/>
      <c r="E76" s="12"/>
      <c r="F76" s="12"/>
      <c r="G76" s="12"/>
      <c r="H76" s="12"/>
      <c r="I76" s="12"/>
      <c r="J76" s="12"/>
      <c r="K76" s="12"/>
      <c r="L76" s="12"/>
      <c r="M76" s="12"/>
      <c r="N76" s="12"/>
      <c r="O76" s="12"/>
      <c r="P76" s="12"/>
      <c r="Q76" s="12"/>
      <c r="R76" s="12"/>
      <c r="S76" s="12"/>
    </row>
    <row r="77" spans="2:19" ht="12.75">
      <c r="B77" s="12"/>
      <c r="C77" s="12"/>
      <c r="D77" s="12"/>
      <c r="E77" s="12"/>
      <c r="F77" s="12"/>
      <c r="G77" s="12"/>
      <c r="H77" s="12"/>
      <c r="I77" s="12"/>
      <c r="J77" s="12"/>
      <c r="K77" s="12"/>
      <c r="L77" s="12"/>
      <c r="M77" s="12"/>
      <c r="N77" s="12"/>
      <c r="O77" s="12"/>
      <c r="P77" s="12"/>
      <c r="Q77" s="12"/>
      <c r="R77" s="12"/>
      <c r="S77" s="12"/>
    </row>
    <row r="78" spans="2:19" ht="12.75">
      <c r="B78" s="12"/>
      <c r="C78" s="12"/>
      <c r="D78" s="12"/>
      <c r="E78" s="12"/>
      <c r="F78" s="12"/>
      <c r="G78" s="12"/>
      <c r="H78" s="12"/>
      <c r="I78" s="12"/>
      <c r="J78" s="12"/>
      <c r="K78" s="12"/>
      <c r="L78" s="12"/>
      <c r="M78" s="12"/>
      <c r="N78" s="12"/>
      <c r="O78" s="12"/>
      <c r="P78" s="12"/>
      <c r="Q78" s="12"/>
      <c r="R78" s="12"/>
      <c r="S78" s="12"/>
    </row>
    <row r="79" spans="2:19" ht="12.75">
      <c r="B79" s="12"/>
      <c r="C79" s="12"/>
      <c r="D79" s="12"/>
      <c r="E79" s="12"/>
      <c r="F79" s="12"/>
      <c r="G79" s="12"/>
      <c r="H79" s="12"/>
      <c r="I79" s="12"/>
      <c r="J79" s="12"/>
      <c r="K79" s="12"/>
      <c r="L79" s="12"/>
      <c r="M79" s="12"/>
      <c r="N79" s="12"/>
      <c r="O79" s="12"/>
      <c r="P79" s="12"/>
      <c r="Q79" s="12"/>
      <c r="R79" s="12"/>
      <c r="S79" s="12"/>
    </row>
    <row r="80" spans="2:19" ht="12.75">
      <c r="B80" s="12"/>
      <c r="C80" s="12"/>
      <c r="D80" s="12"/>
      <c r="E80" s="12"/>
      <c r="F80" s="12"/>
      <c r="G80" s="12"/>
      <c r="H80" s="12"/>
      <c r="I80" s="12"/>
      <c r="J80" s="12"/>
      <c r="K80" s="12"/>
      <c r="L80" s="12"/>
      <c r="M80" s="12"/>
      <c r="N80" s="12"/>
      <c r="O80" s="12"/>
      <c r="P80" s="12"/>
      <c r="Q80" s="12"/>
      <c r="R80" s="12"/>
      <c r="S80" s="12"/>
    </row>
    <row r="81" spans="2:19" ht="12.75">
      <c r="B81" s="12"/>
      <c r="C81" s="12"/>
      <c r="D81" s="12"/>
      <c r="E81" s="12"/>
      <c r="F81" s="12"/>
      <c r="G81" s="12"/>
      <c r="H81" s="12"/>
      <c r="I81" s="12"/>
      <c r="J81" s="12"/>
      <c r="K81" s="12"/>
      <c r="L81" s="12"/>
      <c r="M81" s="12"/>
      <c r="N81" s="12"/>
      <c r="O81" s="12"/>
      <c r="P81" s="12"/>
      <c r="Q81" s="12"/>
      <c r="R81" s="12"/>
      <c r="S81" s="12"/>
    </row>
    <row r="82" spans="2:19" ht="12.75">
      <c r="B82" s="12"/>
      <c r="C82" s="12"/>
      <c r="D82" s="12"/>
      <c r="E82" s="12"/>
      <c r="F82" s="12"/>
      <c r="G82" s="12"/>
      <c r="H82" s="12"/>
      <c r="I82" s="12"/>
      <c r="J82" s="12"/>
      <c r="K82" s="12"/>
      <c r="L82" s="12"/>
      <c r="M82" s="12"/>
      <c r="N82" s="12"/>
      <c r="O82" s="12"/>
      <c r="P82" s="12"/>
      <c r="Q82" s="12"/>
      <c r="R82" s="12"/>
      <c r="S82" s="12"/>
    </row>
    <row r="83" spans="2:19" ht="12.75">
      <c r="B83" s="12"/>
      <c r="C83" s="12"/>
      <c r="D83" s="12"/>
      <c r="E83" s="12"/>
      <c r="F83" s="12"/>
      <c r="G83" s="12"/>
      <c r="H83" s="12"/>
      <c r="I83" s="12"/>
      <c r="J83" s="12"/>
      <c r="K83" s="12"/>
      <c r="L83" s="12"/>
      <c r="M83" s="12"/>
      <c r="N83" s="12"/>
      <c r="O83" s="12"/>
      <c r="P83" s="12"/>
      <c r="Q83" s="12"/>
      <c r="R83" s="12"/>
      <c r="S83" s="12"/>
    </row>
    <row r="84" spans="2:19" ht="12.75">
      <c r="B84" s="12"/>
      <c r="C84" s="12"/>
      <c r="D84" s="12"/>
      <c r="E84" s="12"/>
      <c r="F84" s="12"/>
      <c r="G84" s="12"/>
      <c r="H84" s="12"/>
      <c r="I84" s="12"/>
      <c r="J84" s="12"/>
      <c r="K84" s="12"/>
      <c r="L84" s="12"/>
      <c r="M84" s="12"/>
      <c r="N84" s="12"/>
      <c r="O84" s="12"/>
      <c r="P84" s="12"/>
      <c r="Q84" s="12"/>
      <c r="R84" s="12"/>
      <c r="S84" s="12"/>
    </row>
    <row r="85" spans="2:19" ht="12.75">
      <c r="B85" s="12"/>
      <c r="C85" s="12"/>
      <c r="D85" s="12"/>
      <c r="E85" s="12"/>
      <c r="F85" s="12"/>
      <c r="G85" s="12"/>
      <c r="H85" s="12"/>
      <c r="I85" s="12"/>
      <c r="J85" s="12"/>
      <c r="K85" s="12"/>
      <c r="L85" s="12"/>
      <c r="M85" s="12"/>
      <c r="N85" s="12"/>
      <c r="O85" s="12"/>
      <c r="P85" s="12"/>
      <c r="Q85" s="12"/>
      <c r="R85" s="12"/>
      <c r="S85" s="12"/>
    </row>
    <row r="86" spans="2:19" ht="12.75">
      <c r="B86" s="12"/>
      <c r="C86" s="12"/>
      <c r="D86" s="12"/>
      <c r="E86" s="12"/>
      <c r="F86" s="12"/>
      <c r="G86" s="12"/>
      <c r="H86" s="12"/>
      <c r="I86" s="12"/>
      <c r="J86" s="12"/>
      <c r="K86" s="12"/>
      <c r="L86" s="12"/>
      <c r="M86" s="12"/>
      <c r="N86" s="12"/>
      <c r="O86" s="12"/>
      <c r="P86" s="12"/>
      <c r="Q86" s="12"/>
      <c r="R86" s="12"/>
      <c r="S86" s="12"/>
    </row>
    <row r="87" spans="2:19" ht="12.75">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sheetData>
  <sheetProtection/>
  <printOptions horizontalCentered="1"/>
  <pageMargins left="0" right="0" top="0.3937007874015748" bottom="0.1968503937007874" header="0.5118110236220472" footer="0.5118110236220472"/>
  <pageSetup fitToHeight="2" fitToWidth="1" horizontalDpi="300" verticalDpi="300" orientation="landscape" paperSize="9" scale="83"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72"/>
  <sheetViews>
    <sheetView zoomScalePageLayoutView="0" workbookViewId="0" topLeftCell="A1">
      <selection activeCell="A81" sqref="A81"/>
    </sheetView>
  </sheetViews>
  <sheetFormatPr defaultColWidth="9.28125" defaultRowHeight="12.75"/>
  <cols>
    <col min="1" max="1" width="32.28125" style="130" customWidth="1"/>
    <col min="2" max="6" width="9.421875" style="130" customWidth="1"/>
    <col min="7" max="16384" width="9.28125" style="130" customWidth="1"/>
  </cols>
  <sheetData>
    <row r="1" ht="12.75">
      <c r="A1" s="129" t="s">
        <v>122</v>
      </c>
    </row>
    <row r="2" spans="1:9" ht="12.75">
      <c r="A2" s="261" t="s">
        <v>20</v>
      </c>
      <c r="B2" s="261"/>
      <c r="C2" s="261"/>
      <c r="D2" s="261"/>
      <c r="E2" s="261"/>
      <c r="F2" s="261"/>
      <c r="G2" s="261"/>
      <c r="H2" s="261"/>
      <c r="I2" s="261"/>
    </row>
    <row r="3" spans="1:6" ht="12.75">
      <c r="A3" s="132"/>
      <c r="B3" s="133"/>
      <c r="C3" s="133"/>
      <c r="D3" s="133"/>
      <c r="E3" s="133"/>
      <c r="F3" s="133"/>
    </row>
    <row r="4" spans="1:9" ht="12.75">
      <c r="A4" s="261" t="s">
        <v>49</v>
      </c>
      <c r="B4" s="261"/>
      <c r="C4" s="261"/>
      <c r="D4" s="261"/>
      <c r="E4" s="261"/>
      <c r="F4" s="261"/>
      <c r="G4" s="261"/>
      <c r="H4" s="261"/>
      <c r="I4" s="261"/>
    </row>
    <row r="5" ht="13.5" thickBot="1">
      <c r="A5" s="131"/>
    </row>
    <row r="6" spans="1:9" ht="12.75">
      <c r="A6" s="134"/>
      <c r="B6" s="135"/>
      <c r="C6" s="135"/>
      <c r="D6" s="135"/>
      <c r="E6" s="135"/>
      <c r="F6" s="135"/>
      <c r="G6" s="135"/>
      <c r="H6" s="135"/>
      <c r="I6" s="135"/>
    </row>
    <row r="7" spans="1:9" s="138" customFormat="1" ht="12.75">
      <c r="A7" s="136"/>
      <c r="B7" s="137" t="s">
        <v>48</v>
      </c>
      <c r="C7" s="137" t="s">
        <v>51</v>
      </c>
      <c r="D7" s="137" t="s">
        <v>67</v>
      </c>
      <c r="E7" s="224" t="s">
        <v>68</v>
      </c>
      <c r="F7" s="224" t="s">
        <v>69</v>
      </c>
      <c r="G7" s="224" t="s">
        <v>80</v>
      </c>
      <c r="H7" s="224" t="s">
        <v>114</v>
      </c>
      <c r="I7" s="137" t="s">
        <v>124</v>
      </c>
    </row>
    <row r="8" spans="1:9" ht="12.75">
      <c r="A8" s="139"/>
      <c r="B8" s="140"/>
      <c r="C8" s="140"/>
      <c r="D8" s="140"/>
      <c r="E8" s="140"/>
      <c r="F8" s="140"/>
      <c r="G8" s="140"/>
      <c r="H8" s="140"/>
      <c r="I8" s="140"/>
    </row>
    <row r="9" spans="1:9" ht="12.75">
      <c r="A9" s="129"/>
      <c r="B9" s="141"/>
      <c r="C9" s="141"/>
      <c r="D9" s="141"/>
      <c r="E9" s="141"/>
      <c r="F9" s="141"/>
      <c r="G9" s="141"/>
      <c r="H9" s="141"/>
      <c r="I9" s="141"/>
    </row>
    <row r="10" spans="1:9" ht="12.75">
      <c r="A10" s="129" t="s">
        <v>7</v>
      </c>
      <c r="B10" s="140"/>
      <c r="C10" s="140"/>
      <c r="D10" s="140"/>
      <c r="E10" s="140"/>
      <c r="F10" s="140"/>
      <c r="G10" s="140"/>
      <c r="H10" s="140"/>
      <c r="I10" s="140"/>
    </row>
    <row r="11" spans="1:9" ht="12.75">
      <c r="A11" s="131" t="s">
        <v>18</v>
      </c>
      <c r="B11" s="142">
        <v>3671</v>
      </c>
      <c r="C11" s="142">
        <v>3804</v>
      </c>
      <c r="D11" s="142">
        <v>3869</v>
      </c>
      <c r="E11" s="142">
        <v>4135</v>
      </c>
      <c r="F11" s="142">
        <v>4158</v>
      </c>
      <c r="G11" s="142">
        <v>4329</v>
      </c>
      <c r="H11" s="142">
        <v>4353</v>
      </c>
      <c r="I11" s="142">
        <v>4403</v>
      </c>
    </row>
    <row r="12" spans="1:9" ht="12.75">
      <c r="A12" s="131" t="s">
        <v>19</v>
      </c>
      <c r="B12" s="142">
        <v>2110</v>
      </c>
      <c r="C12" s="142">
        <v>2156</v>
      </c>
      <c r="D12" s="142">
        <v>2080</v>
      </c>
      <c r="E12" s="142">
        <v>2016</v>
      </c>
      <c r="F12" s="142">
        <v>2052</v>
      </c>
      <c r="G12" s="142">
        <v>2070</v>
      </c>
      <c r="H12" s="142">
        <v>2172</v>
      </c>
      <c r="I12" s="142">
        <v>2246</v>
      </c>
    </row>
    <row r="13" spans="1:9" s="145" customFormat="1" ht="12.75">
      <c r="A13" s="143" t="s">
        <v>4</v>
      </c>
      <c r="B13" s="144">
        <f aca="true" t="shared" si="0" ref="B13:G13">SUM(B11:B12)</f>
        <v>5781</v>
      </c>
      <c r="C13" s="144">
        <f t="shared" si="0"/>
        <v>5960</v>
      </c>
      <c r="D13" s="144">
        <f t="shared" si="0"/>
        <v>5949</v>
      </c>
      <c r="E13" s="144">
        <f t="shared" si="0"/>
        <v>6151</v>
      </c>
      <c r="F13" s="144">
        <f t="shared" si="0"/>
        <v>6210</v>
      </c>
      <c r="G13" s="144">
        <f t="shared" si="0"/>
        <v>6399</v>
      </c>
      <c r="H13" s="144">
        <f>SUM(H11:H12)</f>
        <v>6525</v>
      </c>
      <c r="I13" s="144">
        <f>SUM(I11:I12)</f>
        <v>6649</v>
      </c>
    </row>
    <row r="14" spans="1:9" ht="12.75">
      <c r="A14" s="146"/>
      <c r="B14" s="142"/>
      <c r="C14" s="142"/>
      <c r="D14" s="142"/>
      <c r="E14" s="142"/>
      <c r="F14" s="142"/>
      <c r="G14" s="142"/>
      <c r="H14" s="142"/>
      <c r="I14" s="142"/>
    </row>
    <row r="15" spans="1:9" ht="12.75">
      <c r="A15" s="129" t="s">
        <v>11</v>
      </c>
      <c r="B15" s="142"/>
      <c r="C15" s="142"/>
      <c r="D15" s="142"/>
      <c r="E15" s="142"/>
      <c r="F15" s="142"/>
      <c r="G15" s="142"/>
      <c r="H15" s="142"/>
      <c r="I15" s="142"/>
    </row>
    <row r="16" spans="1:9" ht="12.75">
      <c r="A16" s="131" t="s">
        <v>18</v>
      </c>
      <c r="B16" s="142">
        <v>1604</v>
      </c>
      <c r="C16" s="142">
        <v>1627</v>
      </c>
      <c r="D16" s="142">
        <v>1689</v>
      </c>
      <c r="E16" s="142">
        <v>1855</v>
      </c>
      <c r="F16" s="142">
        <v>1890</v>
      </c>
      <c r="G16" s="142">
        <v>1911</v>
      </c>
      <c r="H16" s="142">
        <v>1944</v>
      </c>
      <c r="I16" s="142">
        <v>1975</v>
      </c>
    </row>
    <row r="17" spans="1:9" ht="12.75">
      <c r="A17" s="131" t="s">
        <v>19</v>
      </c>
      <c r="B17" s="142">
        <v>941</v>
      </c>
      <c r="C17" s="142">
        <v>977</v>
      </c>
      <c r="D17" s="142">
        <v>1021</v>
      </c>
      <c r="E17" s="142">
        <v>852</v>
      </c>
      <c r="F17" s="142">
        <v>883</v>
      </c>
      <c r="G17" s="142">
        <v>880</v>
      </c>
      <c r="H17" s="142">
        <v>932</v>
      </c>
      <c r="I17" s="142">
        <v>956</v>
      </c>
    </row>
    <row r="18" spans="1:9" s="145" customFormat="1" ht="12.75">
      <c r="A18" s="143" t="s">
        <v>4</v>
      </c>
      <c r="B18" s="144">
        <f aca="true" t="shared" si="1" ref="B18:G18">SUM(B16:B17)</f>
        <v>2545</v>
      </c>
      <c r="C18" s="144">
        <f t="shared" si="1"/>
        <v>2604</v>
      </c>
      <c r="D18" s="144">
        <f t="shared" si="1"/>
        <v>2710</v>
      </c>
      <c r="E18" s="144">
        <f t="shared" si="1"/>
        <v>2707</v>
      </c>
      <c r="F18" s="144">
        <f t="shared" si="1"/>
        <v>2773</v>
      </c>
      <c r="G18" s="144">
        <f t="shared" si="1"/>
        <v>2791</v>
      </c>
      <c r="H18" s="144">
        <f>SUM(H16:H17)</f>
        <v>2876</v>
      </c>
      <c r="I18" s="144">
        <f>SUM(I16:I17)</f>
        <v>2931</v>
      </c>
    </row>
    <row r="19" spans="1:9" ht="12.75">
      <c r="A19" s="131"/>
      <c r="B19" s="142"/>
      <c r="C19" s="142"/>
      <c r="D19" s="142"/>
      <c r="E19" s="142"/>
      <c r="F19" s="142"/>
      <c r="G19" s="142"/>
      <c r="H19" s="142"/>
      <c r="I19" s="142"/>
    </row>
    <row r="20" spans="1:9" ht="12.75">
      <c r="A20" s="129" t="s">
        <v>12</v>
      </c>
      <c r="B20" s="142"/>
      <c r="C20" s="142"/>
      <c r="D20" s="142"/>
      <c r="E20" s="142"/>
      <c r="F20" s="142"/>
      <c r="G20" s="142"/>
      <c r="H20" s="142"/>
      <c r="I20" s="142"/>
    </row>
    <row r="21" spans="1:9" ht="12.75">
      <c r="A21" s="131" t="s">
        <v>18</v>
      </c>
      <c r="B21" s="142">
        <v>5729</v>
      </c>
      <c r="C21" s="142">
        <v>5680</v>
      </c>
      <c r="D21" s="142">
        <v>5696</v>
      </c>
      <c r="E21" s="142">
        <v>5745</v>
      </c>
      <c r="F21" s="142">
        <v>5571</v>
      </c>
      <c r="G21" s="142">
        <v>5515</v>
      </c>
      <c r="H21" s="142">
        <v>5408</v>
      </c>
      <c r="I21" s="142">
        <v>5252</v>
      </c>
    </row>
    <row r="22" spans="1:9" ht="12.75">
      <c r="A22" s="131" t="s">
        <v>19</v>
      </c>
      <c r="B22" s="142">
        <v>2209</v>
      </c>
      <c r="C22" s="142">
        <v>2222</v>
      </c>
      <c r="D22" s="142">
        <v>2158</v>
      </c>
      <c r="E22" s="142">
        <v>1949</v>
      </c>
      <c r="F22" s="142">
        <v>2027</v>
      </c>
      <c r="G22" s="142">
        <v>2037</v>
      </c>
      <c r="H22" s="142">
        <v>2047</v>
      </c>
      <c r="I22" s="142">
        <v>1926</v>
      </c>
    </row>
    <row r="23" spans="1:9" s="145" customFormat="1" ht="12.75">
      <c r="A23" s="143" t="s">
        <v>4</v>
      </c>
      <c r="B23" s="144">
        <f aca="true" t="shared" si="2" ref="B23:G23">SUM(B21:B22)</f>
        <v>7938</v>
      </c>
      <c r="C23" s="144">
        <f t="shared" si="2"/>
        <v>7902</v>
      </c>
      <c r="D23" s="144">
        <f t="shared" si="2"/>
        <v>7854</v>
      </c>
      <c r="E23" s="144">
        <f t="shared" si="2"/>
        <v>7694</v>
      </c>
      <c r="F23" s="144">
        <f t="shared" si="2"/>
        <v>7598</v>
      </c>
      <c r="G23" s="144">
        <f t="shared" si="2"/>
        <v>7552</v>
      </c>
      <c r="H23" s="144">
        <f>SUM(H21:H22)</f>
        <v>7455</v>
      </c>
      <c r="I23" s="144">
        <f>SUM(I21:I22)</f>
        <v>7178</v>
      </c>
    </row>
    <row r="24" spans="1:9" ht="12.75">
      <c r="A24" s="146"/>
      <c r="B24" s="142"/>
      <c r="C24" s="142"/>
      <c r="D24" s="142"/>
      <c r="E24" s="142"/>
      <c r="F24" s="142"/>
      <c r="G24" s="142"/>
      <c r="H24" s="142"/>
      <c r="I24" s="142"/>
    </row>
    <row r="25" spans="1:9" ht="12.75">
      <c r="A25" s="129" t="s">
        <v>13</v>
      </c>
      <c r="B25" s="142"/>
      <c r="C25" s="142"/>
      <c r="D25" s="142"/>
      <c r="E25" s="142"/>
      <c r="F25" s="142"/>
      <c r="G25" s="142"/>
      <c r="H25" s="142"/>
      <c r="I25" s="142"/>
    </row>
    <row r="26" spans="1:9" ht="12.75">
      <c r="A26" s="131" t="s">
        <v>18</v>
      </c>
      <c r="B26" s="142">
        <v>759</v>
      </c>
      <c r="C26" s="142">
        <v>779</v>
      </c>
      <c r="D26" s="142">
        <v>834</v>
      </c>
      <c r="E26" s="142">
        <v>892</v>
      </c>
      <c r="F26" s="142">
        <v>902</v>
      </c>
      <c r="G26" s="142">
        <v>949</v>
      </c>
      <c r="H26" s="142">
        <v>981</v>
      </c>
      <c r="I26" s="142">
        <v>992</v>
      </c>
    </row>
    <row r="27" spans="1:9" ht="12.75">
      <c r="A27" s="131" t="s">
        <v>19</v>
      </c>
      <c r="B27" s="142">
        <v>472</v>
      </c>
      <c r="C27" s="142">
        <v>485</v>
      </c>
      <c r="D27" s="142">
        <v>464</v>
      </c>
      <c r="E27" s="142">
        <v>437</v>
      </c>
      <c r="F27" s="142">
        <v>454</v>
      </c>
      <c r="G27" s="142">
        <v>518</v>
      </c>
      <c r="H27" s="142">
        <v>561</v>
      </c>
      <c r="I27" s="142">
        <v>586</v>
      </c>
    </row>
    <row r="28" spans="1:9" s="145" customFormat="1" ht="12.75">
      <c r="A28" s="143" t="s">
        <v>4</v>
      </c>
      <c r="B28" s="144">
        <f aca="true" t="shared" si="3" ref="B28:G28">SUM(B26:B27)</f>
        <v>1231</v>
      </c>
      <c r="C28" s="144">
        <f t="shared" si="3"/>
        <v>1264</v>
      </c>
      <c r="D28" s="144">
        <f t="shared" si="3"/>
        <v>1298</v>
      </c>
      <c r="E28" s="144">
        <f t="shared" si="3"/>
        <v>1329</v>
      </c>
      <c r="F28" s="144">
        <f t="shared" si="3"/>
        <v>1356</v>
      </c>
      <c r="G28" s="144">
        <f t="shared" si="3"/>
        <v>1467</v>
      </c>
      <c r="H28" s="144">
        <f>SUM(H26:H27)</f>
        <v>1542</v>
      </c>
      <c r="I28" s="144">
        <f>SUM(I26:I27)</f>
        <v>1578</v>
      </c>
    </row>
    <row r="29" spans="1:9" s="145" customFormat="1" ht="12.75">
      <c r="A29" s="143"/>
      <c r="B29" s="147"/>
      <c r="C29" s="147"/>
      <c r="D29" s="147"/>
      <c r="E29" s="147"/>
      <c r="F29" s="147"/>
      <c r="G29" s="147"/>
      <c r="H29" s="147"/>
      <c r="I29" s="147"/>
    </row>
    <row r="30" spans="1:9" ht="12.75">
      <c r="A30" s="235" t="s">
        <v>75</v>
      </c>
      <c r="B30" s="142"/>
      <c r="C30" s="142"/>
      <c r="D30" s="142"/>
      <c r="E30" s="142"/>
      <c r="F30" s="142"/>
      <c r="G30" s="142"/>
      <c r="H30" s="142"/>
      <c r="I30" s="142"/>
    </row>
    <row r="31" spans="1:9" ht="12.75">
      <c r="A31" s="131" t="s">
        <v>18</v>
      </c>
      <c r="B31" s="142"/>
      <c r="C31" s="142">
        <v>15</v>
      </c>
      <c r="D31" s="142">
        <v>18</v>
      </c>
      <c r="E31" s="142">
        <v>19</v>
      </c>
      <c r="F31" s="142">
        <v>19</v>
      </c>
      <c r="G31" s="142">
        <v>19</v>
      </c>
      <c r="H31" s="142">
        <v>19</v>
      </c>
      <c r="I31" s="142">
        <v>16</v>
      </c>
    </row>
    <row r="32" spans="1:9" ht="12.75">
      <c r="A32" s="131" t="s">
        <v>19</v>
      </c>
      <c r="B32" s="142"/>
      <c r="C32" s="142">
        <v>8</v>
      </c>
      <c r="D32" s="142">
        <v>5</v>
      </c>
      <c r="E32" s="142">
        <v>4</v>
      </c>
      <c r="F32" s="142">
        <v>2</v>
      </c>
      <c r="G32" s="142">
        <v>6</v>
      </c>
      <c r="H32" s="142">
        <v>9</v>
      </c>
      <c r="I32" s="142">
        <v>8</v>
      </c>
    </row>
    <row r="33" spans="1:9" s="145" customFormat="1" ht="12.75">
      <c r="A33" s="143" t="s">
        <v>4</v>
      </c>
      <c r="B33" s="214"/>
      <c r="C33" s="144">
        <f aca="true" t="shared" si="4" ref="C33:H33">SUM(C31:C32)</f>
        <v>23</v>
      </c>
      <c r="D33" s="144">
        <f t="shared" si="4"/>
        <v>23</v>
      </c>
      <c r="E33" s="144">
        <f t="shared" si="4"/>
        <v>23</v>
      </c>
      <c r="F33" s="144">
        <f t="shared" si="4"/>
        <v>21</v>
      </c>
      <c r="G33" s="144">
        <f t="shared" si="4"/>
        <v>25</v>
      </c>
      <c r="H33" s="144">
        <f t="shared" si="4"/>
        <v>28</v>
      </c>
      <c r="I33" s="144">
        <f>SUM(I31:I32)</f>
        <v>24</v>
      </c>
    </row>
    <row r="34" spans="1:9" ht="12.75">
      <c r="A34" s="131"/>
      <c r="B34" s="142"/>
      <c r="C34" s="142"/>
      <c r="D34" s="142"/>
      <c r="E34" s="142"/>
      <c r="F34" s="142"/>
      <c r="G34" s="142"/>
      <c r="H34" s="142"/>
      <c r="I34" s="142"/>
    </row>
    <row r="35" spans="1:9" ht="12.75">
      <c r="A35" s="129" t="s">
        <v>14</v>
      </c>
      <c r="B35" s="142"/>
      <c r="C35" s="142"/>
      <c r="D35" s="142"/>
      <c r="E35" s="142"/>
      <c r="F35" s="142"/>
      <c r="G35" s="142"/>
      <c r="H35" s="142"/>
      <c r="I35" s="142"/>
    </row>
    <row r="36" spans="1:9" ht="12.75">
      <c r="A36" s="131" t="s">
        <v>18</v>
      </c>
      <c r="B36" s="142">
        <v>1517</v>
      </c>
      <c r="C36" s="142">
        <v>1554</v>
      </c>
      <c r="D36" s="142">
        <v>1579</v>
      </c>
      <c r="E36" s="142">
        <v>1652</v>
      </c>
      <c r="F36" s="142">
        <v>1760</v>
      </c>
      <c r="G36" s="142">
        <v>1682</v>
      </c>
      <c r="H36" s="142">
        <v>1611</v>
      </c>
      <c r="I36" s="142">
        <v>1603</v>
      </c>
    </row>
    <row r="37" spans="1:9" ht="12.75">
      <c r="A37" s="131" t="s">
        <v>19</v>
      </c>
      <c r="B37" s="142">
        <v>800</v>
      </c>
      <c r="C37" s="142">
        <v>892</v>
      </c>
      <c r="D37" s="142">
        <v>906</v>
      </c>
      <c r="E37" s="142">
        <v>806</v>
      </c>
      <c r="F37" s="142">
        <v>792</v>
      </c>
      <c r="G37" s="142">
        <v>675</v>
      </c>
      <c r="H37" s="142">
        <v>650</v>
      </c>
      <c r="I37" s="142">
        <v>676</v>
      </c>
    </row>
    <row r="38" spans="1:9" s="145" customFormat="1" ht="12.75">
      <c r="A38" s="143" t="s">
        <v>4</v>
      </c>
      <c r="B38" s="144">
        <f aca="true" t="shared" si="5" ref="B38:G38">SUM(B36:B37)</f>
        <v>2317</v>
      </c>
      <c r="C38" s="144">
        <f t="shared" si="5"/>
        <v>2446</v>
      </c>
      <c r="D38" s="144">
        <f t="shared" si="5"/>
        <v>2485</v>
      </c>
      <c r="E38" s="144">
        <f t="shared" si="5"/>
        <v>2458</v>
      </c>
      <c r="F38" s="144">
        <f t="shared" si="5"/>
        <v>2552</v>
      </c>
      <c r="G38" s="144">
        <f t="shared" si="5"/>
        <v>2357</v>
      </c>
      <c r="H38" s="144">
        <f>SUM(H36:H37)</f>
        <v>2261</v>
      </c>
      <c r="I38" s="144">
        <f>SUM(I36:I37)</f>
        <v>2279</v>
      </c>
    </row>
    <row r="39" spans="1:9" s="145" customFormat="1" ht="12.75">
      <c r="A39" s="143"/>
      <c r="B39" s="147"/>
      <c r="C39" s="147"/>
      <c r="D39" s="147"/>
      <c r="E39" s="147"/>
      <c r="F39" s="147"/>
      <c r="G39" s="147"/>
      <c r="H39" s="147"/>
      <c r="I39" s="147"/>
    </row>
    <row r="40" spans="1:9" s="44" customFormat="1" ht="12.75">
      <c r="A40" s="1" t="s">
        <v>50</v>
      </c>
      <c r="B40" s="53"/>
      <c r="C40" s="53"/>
      <c r="D40" s="53"/>
      <c r="E40" s="53"/>
      <c r="F40" s="53"/>
      <c r="G40" s="53"/>
      <c r="H40" s="53"/>
      <c r="I40" s="53"/>
    </row>
    <row r="41" spans="1:9" s="44" customFormat="1" ht="12.75">
      <c r="A41" s="45" t="s">
        <v>18</v>
      </c>
      <c r="B41" s="53">
        <v>0</v>
      </c>
      <c r="C41" s="53">
        <v>0</v>
      </c>
      <c r="D41" s="53">
        <v>0</v>
      </c>
      <c r="E41" s="53">
        <v>0</v>
      </c>
      <c r="F41" s="53">
        <v>0</v>
      </c>
      <c r="G41" s="53">
        <v>0</v>
      </c>
      <c r="H41" s="53">
        <v>0</v>
      </c>
      <c r="I41" s="53">
        <v>0</v>
      </c>
    </row>
    <row r="42" spans="1:9" s="44" customFormat="1" ht="12.75">
      <c r="A42" s="45" t="s">
        <v>19</v>
      </c>
      <c r="B42" s="53">
        <v>73</v>
      </c>
      <c r="C42" s="53">
        <v>76</v>
      </c>
      <c r="D42" s="53">
        <v>78</v>
      </c>
      <c r="E42" s="53">
        <v>74</v>
      </c>
      <c r="F42" s="53">
        <v>80</v>
      </c>
      <c r="G42" s="53">
        <v>85</v>
      </c>
      <c r="H42" s="53">
        <v>97</v>
      </c>
      <c r="I42" s="53">
        <v>106</v>
      </c>
    </row>
    <row r="43" spans="1:9" s="44" customFormat="1" ht="12.75">
      <c r="A43" s="54" t="s">
        <v>4</v>
      </c>
      <c r="B43" s="55">
        <f aca="true" t="shared" si="6" ref="B43:G43">B41+B42</f>
        <v>73</v>
      </c>
      <c r="C43" s="55">
        <f t="shared" si="6"/>
        <v>76</v>
      </c>
      <c r="D43" s="55">
        <f t="shared" si="6"/>
        <v>78</v>
      </c>
      <c r="E43" s="55">
        <f t="shared" si="6"/>
        <v>74</v>
      </c>
      <c r="F43" s="55">
        <f t="shared" si="6"/>
        <v>80</v>
      </c>
      <c r="G43" s="55">
        <f t="shared" si="6"/>
        <v>85</v>
      </c>
      <c r="H43" s="55">
        <f>H41+H42</f>
        <v>97</v>
      </c>
      <c r="I43" s="55">
        <f>I41+I42</f>
        <v>106</v>
      </c>
    </row>
    <row r="44" spans="1:9" s="44" customFormat="1" ht="12.75">
      <c r="A44" s="54"/>
      <c r="B44" s="206"/>
      <c r="C44" s="206"/>
      <c r="D44" s="206"/>
      <c r="E44" s="206"/>
      <c r="F44" s="206"/>
      <c r="G44" s="206"/>
      <c r="H44" s="206"/>
      <c r="I44" s="206"/>
    </row>
    <row r="45" spans="1:9" ht="12.75">
      <c r="A45" s="1" t="s">
        <v>46</v>
      </c>
      <c r="B45" s="142"/>
      <c r="C45" s="142"/>
      <c r="D45" s="142"/>
      <c r="E45" s="142"/>
      <c r="F45" s="142"/>
      <c r="G45" s="142"/>
      <c r="H45" s="142"/>
      <c r="I45" s="142"/>
    </row>
    <row r="46" spans="1:9" ht="12.75">
      <c r="A46" s="131" t="s">
        <v>18</v>
      </c>
      <c r="B46" s="142">
        <v>298</v>
      </c>
      <c r="C46" s="142">
        <v>318</v>
      </c>
      <c r="D46" s="142">
        <v>379</v>
      </c>
      <c r="E46" s="142">
        <v>419</v>
      </c>
      <c r="F46" s="142">
        <v>446</v>
      </c>
      <c r="G46" s="142">
        <v>457</v>
      </c>
      <c r="H46" s="142">
        <v>475</v>
      </c>
      <c r="I46" s="142">
        <v>471</v>
      </c>
    </row>
    <row r="47" spans="1:9" ht="12.75">
      <c r="A47" s="131" t="s">
        <v>19</v>
      </c>
      <c r="B47" s="142">
        <v>281</v>
      </c>
      <c r="C47" s="142">
        <v>298</v>
      </c>
      <c r="D47" s="142">
        <v>259</v>
      </c>
      <c r="E47" s="142">
        <v>232</v>
      </c>
      <c r="F47" s="142">
        <v>228</v>
      </c>
      <c r="G47" s="142">
        <v>240</v>
      </c>
      <c r="H47" s="142">
        <v>253</v>
      </c>
      <c r="I47" s="142">
        <v>250</v>
      </c>
    </row>
    <row r="48" spans="1:9" s="145" customFormat="1" ht="12.75">
      <c r="A48" s="143" t="s">
        <v>4</v>
      </c>
      <c r="B48" s="144">
        <f aca="true" t="shared" si="7" ref="B48:G48">SUM(B46:B47)</f>
        <v>579</v>
      </c>
      <c r="C48" s="144">
        <f t="shared" si="7"/>
        <v>616</v>
      </c>
      <c r="D48" s="144">
        <f t="shared" si="7"/>
        <v>638</v>
      </c>
      <c r="E48" s="144">
        <f t="shared" si="7"/>
        <v>651</v>
      </c>
      <c r="F48" s="144">
        <f t="shared" si="7"/>
        <v>674</v>
      </c>
      <c r="G48" s="144">
        <f t="shared" si="7"/>
        <v>697</v>
      </c>
      <c r="H48" s="144">
        <f>SUM(H46:H47)</f>
        <v>728</v>
      </c>
      <c r="I48" s="144">
        <f>SUM(I46:I47)</f>
        <v>721</v>
      </c>
    </row>
    <row r="49" spans="1:9" ht="12.75">
      <c r="A49" s="131"/>
      <c r="B49" s="142"/>
      <c r="C49" s="142"/>
      <c r="D49" s="142"/>
      <c r="E49" s="142"/>
      <c r="F49" s="142"/>
      <c r="G49" s="142"/>
      <c r="H49" s="142"/>
      <c r="I49" s="142"/>
    </row>
    <row r="50" spans="1:9" ht="12.75">
      <c r="A50" s="1" t="s">
        <v>47</v>
      </c>
      <c r="B50" s="142"/>
      <c r="C50" s="142"/>
      <c r="D50" s="142"/>
      <c r="E50" s="142"/>
      <c r="F50" s="142"/>
      <c r="G50" s="142"/>
      <c r="H50" s="142"/>
      <c r="I50" s="142"/>
    </row>
    <row r="51" spans="1:9" ht="12.75">
      <c r="A51" s="131" t="s">
        <v>18</v>
      </c>
      <c r="B51" s="142">
        <v>23</v>
      </c>
      <c r="C51" s="142">
        <v>27</v>
      </c>
      <c r="D51" s="142">
        <v>32</v>
      </c>
      <c r="E51" s="142">
        <v>37</v>
      </c>
      <c r="F51" s="142">
        <v>37</v>
      </c>
      <c r="G51" s="142">
        <v>34</v>
      </c>
      <c r="H51" s="142">
        <v>32</v>
      </c>
      <c r="I51" s="142">
        <v>29</v>
      </c>
    </row>
    <row r="52" spans="1:9" ht="12.75">
      <c r="A52" s="131" t="s">
        <v>19</v>
      </c>
      <c r="B52" s="142">
        <v>24</v>
      </c>
      <c r="C52" s="142">
        <v>21</v>
      </c>
      <c r="D52" s="142">
        <v>16</v>
      </c>
      <c r="E52" s="142">
        <v>10</v>
      </c>
      <c r="F52" s="142">
        <v>9</v>
      </c>
      <c r="G52" s="142">
        <v>17</v>
      </c>
      <c r="H52" s="142">
        <v>16</v>
      </c>
      <c r="I52" s="142">
        <v>18</v>
      </c>
    </row>
    <row r="53" spans="1:9" s="145" customFormat="1" ht="12.75">
      <c r="A53" s="143" t="s">
        <v>4</v>
      </c>
      <c r="B53" s="144">
        <f aca="true" t="shared" si="8" ref="B53:G53">SUM(B51:B52)</f>
        <v>47</v>
      </c>
      <c r="C53" s="144">
        <f t="shared" si="8"/>
        <v>48</v>
      </c>
      <c r="D53" s="144">
        <f t="shared" si="8"/>
        <v>48</v>
      </c>
      <c r="E53" s="144">
        <f t="shared" si="8"/>
        <v>47</v>
      </c>
      <c r="F53" s="144">
        <f t="shared" si="8"/>
        <v>46</v>
      </c>
      <c r="G53" s="144">
        <f t="shared" si="8"/>
        <v>51</v>
      </c>
      <c r="H53" s="144">
        <f>SUM(H51:H52)</f>
        <v>48</v>
      </c>
      <c r="I53" s="144">
        <f>SUM(I51:I52)</f>
        <v>47</v>
      </c>
    </row>
    <row r="54" spans="1:9" s="145" customFormat="1" ht="12.75">
      <c r="A54" s="143"/>
      <c r="B54" s="147"/>
      <c r="C54" s="147"/>
      <c r="D54" s="147"/>
      <c r="E54" s="147"/>
      <c r="F54" s="147"/>
      <c r="G54" s="147"/>
      <c r="H54" s="147"/>
      <c r="I54" s="147"/>
    </row>
    <row r="55" spans="1:9" ht="12.75">
      <c r="A55" s="129" t="s">
        <v>15</v>
      </c>
      <c r="B55" s="142"/>
      <c r="C55" s="142"/>
      <c r="D55" s="142"/>
      <c r="E55" s="142"/>
      <c r="F55" s="142"/>
      <c r="G55" s="142"/>
      <c r="H55" s="142"/>
      <c r="I55" s="142"/>
    </row>
    <row r="56" spans="1:9" ht="12.75">
      <c r="A56" s="131" t="s">
        <v>18</v>
      </c>
      <c r="B56" s="142">
        <v>186</v>
      </c>
      <c r="C56" s="142">
        <v>192</v>
      </c>
      <c r="D56" s="142">
        <v>205</v>
      </c>
      <c r="E56" s="142">
        <v>212</v>
      </c>
      <c r="F56" s="142">
        <v>224</v>
      </c>
      <c r="G56" s="142">
        <v>221</v>
      </c>
      <c r="H56" s="142">
        <v>216</v>
      </c>
      <c r="I56" s="142">
        <v>214</v>
      </c>
    </row>
    <row r="57" spans="1:9" ht="12.75">
      <c r="A57" s="131" t="s">
        <v>19</v>
      </c>
      <c r="B57" s="142">
        <v>142</v>
      </c>
      <c r="C57" s="142">
        <v>140</v>
      </c>
      <c r="D57" s="142">
        <v>133</v>
      </c>
      <c r="E57" s="142">
        <v>133</v>
      </c>
      <c r="F57" s="142">
        <v>117</v>
      </c>
      <c r="G57" s="142">
        <v>106</v>
      </c>
      <c r="H57" s="142">
        <v>112</v>
      </c>
      <c r="I57" s="142">
        <v>123</v>
      </c>
    </row>
    <row r="58" spans="1:9" s="145" customFormat="1" ht="12.75">
      <c r="A58" s="143" t="s">
        <v>4</v>
      </c>
      <c r="B58" s="144">
        <f aca="true" t="shared" si="9" ref="B58:G58">SUM(B56:B57)</f>
        <v>328</v>
      </c>
      <c r="C58" s="144">
        <f t="shared" si="9"/>
        <v>332</v>
      </c>
      <c r="D58" s="144">
        <f t="shared" si="9"/>
        <v>338</v>
      </c>
      <c r="E58" s="144">
        <f t="shared" si="9"/>
        <v>345</v>
      </c>
      <c r="F58" s="144">
        <f t="shared" si="9"/>
        <v>341</v>
      </c>
      <c r="G58" s="144">
        <f t="shared" si="9"/>
        <v>327</v>
      </c>
      <c r="H58" s="144">
        <f>SUM(H56:H57)</f>
        <v>328</v>
      </c>
      <c r="I58" s="144">
        <f>SUM(I56:I57)</f>
        <v>337</v>
      </c>
    </row>
    <row r="59" spans="1:9" s="145" customFormat="1" ht="12.75">
      <c r="A59" s="143"/>
      <c r="B59" s="147"/>
      <c r="C59" s="147"/>
      <c r="D59" s="147"/>
      <c r="E59" s="147"/>
      <c r="F59" s="147"/>
      <c r="G59" s="147"/>
      <c r="H59" s="147"/>
      <c r="I59" s="147"/>
    </row>
    <row r="60" spans="1:9" ht="12.75">
      <c r="A60" s="129" t="s">
        <v>41</v>
      </c>
      <c r="B60" s="142"/>
      <c r="C60" s="142"/>
      <c r="D60" s="142"/>
      <c r="E60" s="142"/>
      <c r="F60" s="142"/>
      <c r="G60" s="142"/>
      <c r="H60" s="142"/>
      <c r="I60" s="142"/>
    </row>
    <row r="61" spans="1:9" ht="12.75">
      <c r="A61" s="131" t="s">
        <v>18</v>
      </c>
      <c r="B61" s="142">
        <v>4118</v>
      </c>
      <c r="C61" s="142">
        <v>4110</v>
      </c>
      <c r="D61" s="142">
        <v>4154</v>
      </c>
      <c r="E61" s="142">
        <v>4333</v>
      </c>
      <c r="F61" s="142">
        <v>4266</v>
      </c>
      <c r="G61" s="142">
        <v>4295</v>
      </c>
      <c r="H61" s="142">
        <v>4248</v>
      </c>
      <c r="I61" s="142">
        <v>4254</v>
      </c>
    </row>
    <row r="62" spans="1:9" ht="12.75">
      <c r="A62" s="131" t="s">
        <v>19</v>
      </c>
      <c r="B62" s="142">
        <v>1965</v>
      </c>
      <c r="C62" s="142">
        <v>2113</v>
      </c>
      <c r="D62" s="142">
        <v>2120</v>
      </c>
      <c r="E62" s="142">
        <v>1937</v>
      </c>
      <c r="F62" s="142">
        <v>2003</v>
      </c>
      <c r="G62" s="142">
        <v>1987</v>
      </c>
      <c r="H62" s="142">
        <v>1980</v>
      </c>
      <c r="I62" s="142">
        <v>1994</v>
      </c>
    </row>
    <row r="63" spans="1:9" s="145" customFormat="1" ht="12.75">
      <c r="A63" s="143" t="s">
        <v>4</v>
      </c>
      <c r="B63" s="144">
        <f aca="true" t="shared" si="10" ref="B63:G63">SUM(B61:B62)</f>
        <v>6083</v>
      </c>
      <c r="C63" s="144">
        <f t="shared" si="10"/>
        <v>6223</v>
      </c>
      <c r="D63" s="144">
        <f t="shared" si="10"/>
        <v>6274</v>
      </c>
      <c r="E63" s="144">
        <f t="shared" si="10"/>
        <v>6270</v>
      </c>
      <c r="F63" s="144">
        <f t="shared" si="10"/>
        <v>6269</v>
      </c>
      <c r="G63" s="144">
        <f t="shared" si="10"/>
        <v>6282</v>
      </c>
      <c r="H63" s="144">
        <f>SUM(H61:H62)</f>
        <v>6228</v>
      </c>
      <c r="I63" s="144">
        <f>SUM(I61:I62)</f>
        <v>6248</v>
      </c>
    </row>
    <row r="64" spans="1:9" ht="12.75">
      <c r="A64" s="143"/>
      <c r="B64" s="142"/>
      <c r="C64" s="142"/>
      <c r="D64" s="142"/>
      <c r="E64" s="142"/>
      <c r="F64" s="142"/>
      <c r="G64" s="142"/>
      <c r="H64" s="142"/>
      <c r="I64" s="142"/>
    </row>
    <row r="65" spans="1:9" ht="12.75">
      <c r="A65" s="187"/>
      <c r="B65" s="188"/>
      <c r="C65" s="188"/>
      <c r="D65" s="188"/>
      <c r="E65" s="188"/>
      <c r="F65" s="188"/>
      <c r="G65" s="188"/>
      <c r="H65" s="188"/>
      <c r="I65" s="188"/>
    </row>
    <row r="66" spans="1:9" s="27" customFormat="1" ht="12.75">
      <c r="A66" s="42" t="s">
        <v>126</v>
      </c>
      <c r="B66" s="36"/>
      <c r="C66" s="36"/>
      <c r="D66" s="36"/>
      <c r="E66" s="36"/>
      <c r="F66" s="36"/>
      <c r="G66" s="36"/>
      <c r="H66" s="36"/>
      <c r="I66" s="36"/>
    </row>
    <row r="67" spans="1:9" s="27" customFormat="1" ht="12.75">
      <c r="A67" s="28" t="s">
        <v>18</v>
      </c>
      <c r="B67" s="36">
        <f>SUM(B11,B16,B21,B26,B36,B46,B51,B56,B61,B41)</f>
        <v>17905</v>
      </c>
      <c r="C67" s="36">
        <f aca="true" t="shared" si="11" ref="C67:I68">SUM(C11,C16,C21,C26,C31,C36,C46,C51,C56,C61,C41)</f>
        <v>18106</v>
      </c>
      <c r="D67" s="36">
        <f t="shared" si="11"/>
        <v>18455</v>
      </c>
      <c r="E67" s="36">
        <f t="shared" si="11"/>
        <v>19299</v>
      </c>
      <c r="F67" s="36">
        <f t="shared" si="11"/>
        <v>19273</v>
      </c>
      <c r="G67" s="36">
        <f t="shared" si="11"/>
        <v>19412</v>
      </c>
      <c r="H67" s="36">
        <f t="shared" si="11"/>
        <v>19287</v>
      </c>
      <c r="I67" s="36">
        <f t="shared" si="11"/>
        <v>19209</v>
      </c>
    </row>
    <row r="68" spans="1:9" s="27" customFormat="1" ht="12.75">
      <c r="A68" s="28" t="s">
        <v>19</v>
      </c>
      <c r="B68" s="36">
        <f>SUM(B12,B17,B22,B27,B37,B47,B52,B57,B62,B42)</f>
        <v>9017</v>
      </c>
      <c r="C68" s="36">
        <f t="shared" si="11"/>
        <v>9388</v>
      </c>
      <c r="D68" s="36">
        <f t="shared" si="11"/>
        <v>9240</v>
      </c>
      <c r="E68" s="36">
        <f t="shared" si="11"/>
        <v>8450</v>
      </c>
      <c r="F68" s="36">
        <f t="shared" si="11"/>
        <v>8647</v>
      </c>
      <c r="G68" s="36">
        <f t="shared" si="11"/>
        <v>8621</v>
      </c>
      <c r="H68" s="36">
        <f t="shared" si="11"/>
        <v>8829</v>
      </c>
      <c r="I68" s="36">
        <f t="shared" si="11"/>
        <v>8889</v>
      </c>
    </row>
    <row r="69" spans="1:9" s="39" customFormat="1" ht="12.75">
      <c r="A69" s="37" t="s">
        <v>4</v>
      </c>
      <c r="B69" s="38">
        <f aca="true" t="shared" si="12" ref="B69:G69">SUM(B67:B68)</f>
        <v>26922</v>
      </c>
      <c r="C69" s="38">
        <f t="shared" si="12"/>
        <v>27494</v>
      </c>
      <c r="D69" s="38">
        <f t="shared" si="12"/>
        <v>27695</v>
      </c>
      <c r="E69" s="38">
        <f t="shared" si="12"/>
        <v>27749</v>
      </c>
      <c r="F69" s="38">
        <f t="shared" si="12"/>
        <v>27920</v>
      </c>
      <c r="G69" s="38">
        <f t="shared" si="12"/>
        <v>28033</v>
      </c>
      <c r="H69" s="38">
        <f>SUM(H67:H68)</f>
        <v>28116</v>
      </c>
      <c r="I69" s="38">
        <f>SUM(I67:I68)</f>
        <v>28098</v>
      </c>
    </row>
    <row r="71" ht="12" customHeight="1">
      <c r="A71" s="183" t="s">
        <v>64</v>
      </c>
    </row>
    <row r="72" ht="12.75">
      <c r="A72" s="183" t="s">
        <v>21</v>
      </c>
    </row>
  </sheetData>
  <sheetProtection/>
  <mergeCells count="2">
    <mergeCell ref="A2:I2"/>
    <mergeCell ref="A4:I4"/>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80" r:id="rId1"/>
  <headerFooter alignWithMargins="0">
    <oddFooter>&amp;R&amp;A</oddFooter>
  </headerFooter>
  <rowBreaks count="1" manualBreakCount="1">
    <brk id="48" max="8" man="1"/>
  </rowBreaks>
</worksheet>
</file>

<file path=xl/worksheets/sheet2.xml><?xml version="1.0" encoding="utf-8"?>
<worksheet xmlns="http://schemas.openxmlformats.org/spreadsheetml/2006/main" xmlns:r="http://schemas.openxmlformats.org/officeDocument/2006/relationships">
  <dimension ref="A1:B91"/>
  <sheetViews>
    <sheetView zoomScalePageLayoutView="0" workbookViewId="0" topLeftCell="A1">
      <selection activeCell="A97" sqref="A97"/>
    </sheetView>
  </sheetViews>
  <sheetFormatPr defaultColWidth="9.140625" defaultRowHeight="12.75"/>
  <cols>
    <col min="1" max="1" width="112.421875" style="0" customWidth="1"/>
  </cols>
  <sheetData>
    <row r="1" ht="17.25">
      <c r="A1" s="236" t="s">
        <v>81</v>
      </c>
    </row>
    <row r="2" ht="8.25" customHeight="1">
      <c r="A2" s="238"/>
    </row>
    <row r="3" ht="72.75" customHeight="1">
      <c r="A3" s="239" t="s">
        <v>82</v>
      </c>
    </row>
    <row r="4" ht="37.5" customHeight="1">
      <c r="A4" s="239" t="s">
        <v>135</v>
      </c>
    </row>
    <row r="6" ht="12.75">
      <c r="A6" s="241" t="s">
        <v>83</v>
      </c>
    </row>
    <row r="7" ht="34.5" customHeight="1">
      <c r="A7" s="239" t="s">
        <v>110</v>
      </c>
    </row>
    <row r="8" ht="39" customHeight="1">
      <c r="A8" s="239" t="s">
        <v>84</v>
      </c>
    </row>
    <row r="9" ht="53.25" customHeight="1">
      <c r="A9" s="239" t="s">
        <v>140</v>
      </c>
    </row>
    <row r="10" ht="5.25" customHeight="1">
      <c r="A10" s="240"/>
    </row>
    <row r="11" ht="39">
      <c r="A11" s="239" t="s">
        <v>136</v>
      </c>
    </row>
    <row r="12" ht="3.75" customHeight="1">
      <c r="A12" s="238" t="s">
        <v>0</v>
      </c>
    </row>
    <row r="13" ht="52.5">
      <c r="A13" s="239" t="s">
        <v>137</v>
      </c>
    </row>
    <row r="14" ht="12.75">
      <c r="A14" s="238" t="s">
        <v>0</v>
      </c>
    </row>
    <row r="15" ht="32.25" customHeight="1">
      <c r="A15" s="239" t="s">
        <v>85</v>
      </c>
    </row>
    <row r="16" ht="52.5">
      <c r="A16" s="239" t="s">
        <v>112</v>
      </c>
    </row>
    <row r="17" spans="1:2" s="252" customFormat="1" ht="39">
      <c r="A17" s="250" t="s">
        <v>113</v>
      </c>
      <c r="B17" s="251"/>
    </row>
    <row r="18" ht="14.25" customHeight="1">
      <c r="A18" s="238"/>
    </row>
    <row r="19" ht="78.75">
      <c r="A19" s="243" t="s">
        <v>115</v>
      </c>
    </row>
    <row r="20" ht="12.75">
      <c r="A20" s="238" t="s">
        <v>0</v>
      </c>
    </row>
    <row r="21" ht="12.75">
      <c r="A21" s="241" t="s">
        <v>86</v>
      </c>
    </row>
    <row r="23" ht="26.25">
      <c r="A23" s="239" t="s">
        <v>87</v>
      </c>
    </row>
    <row r="24" ht="12.75">
      <c r="A24" s="239" t="s">
        <v>88</v>
      </c>
    </row>
    <row r="25" ht="26.25">
      <c r="A25" s="239" t="s">
        <v>89</v>
      </c>
    </row>
    <row r="26" ht="6.75" customHeight="1"/>
    <row r="27" ht="52.5">
      <c r="A27" s="239" t="s">
        <v>141</v>
      </c>
    </row>
    <row r="28" ht="4.5" customHeight="1"/>
    <row r="29" ht="39">
      <c r="A29" s="239" t="s">
        <v>90</v>
      </c>
    </row>
    <row r="30" ht="12.75">
      <c r="A30" s="239"/>
    </row>
    <row r="31" ht="27" customHeight="1">
      <c r="A31" s="239" t="s">
        <v>109</v>
      </c>
    </row>
    <row r="32" ht="12.75">
      <c r="A32" s="239"/>
    </row>
    <row r="33" ht="26.25">
      <c r="A33" s="239" t="s">
        <v>142</v>
      </c>
    </row>
    <row r="35" ht="12.75">
      <c r="A35" s="241" t="s">
        <v>91</v>
      </c>
    </row>
    <row r="36" ht="39">
      <c r="A36" s="239" t="s">
        <v>120</v>
      </c>
    </row>
    <row r="37" ht="39">
      <c r="A37" s="239" t="s">
        <v>121</v>
      </c>
    </row>
    <row r="38" ht="12.75">
      <c r="A38" s="244"/>
    </row>
    <row r="39" ht="12.75">
      <c r="A39" s="241" t="s">
        <v>92</v>
      </c>
    </row>
    <row r="40" ht="52.5">
      <c r="A40" s="239" t="s">
        <v>93</v>
      </c>
    </row>
    <row r="41" ht="4.5" customHeight="1">
      <c r="A41" s="240"/>
    </row>
    <row r="42" ht="26.25">
      <c r="A42" s="249" t="s">
        <v>94</v>
      </c>
    </row>
    <row r="43" ht="15">
      <c r="A43" s="237"/>
    </row>
    <row r="44" ht="14.25">
      <c r="A44" s="245" t="s">
        <v>95</v>
      </c>
    </row>
    <row r="45" ht="12.75">
      <c r="A45" s="238" t="s">
        <v>116</v>
      </c>
    </row>
    <row r="46" ht="52.5">
      <c r="A46" s="239" t="s">
        <v>138</v>
      </c>
    </row>
    <row r="47" ht="12.75">
      <c r="A47" s="238"/>
    </row>
    <row r="48" ht="12.75">
      <c r="A48" s="238" t="s">
        <v>96</v>
      </c>
    </row>
    <row r="49" ht="26.25">
      <c r="A49" s="239" t="s">
        <v>139</v>
      </c>
    </row>
    <row r="50" ht="12.75">
      <c r="A50" s="238" t="s">
        <v>97</v>
      </c>
    </row>
    <row r="51" ht="12.75">
      <c r="A51" s="238" t="s">
        <v>98</v>
      </c>
    </row>
    <row r="52" ht="52.5">
      <c r="A52" s="239" t="s">
        <v>99</v>
      </c>
    </row>
    <row r="53" ht="15">
      <c r="A53" s="237"/>
    </row>
    <row r="54" ht="12.75">
      <c r="A54" s="238" t="s">
        <v>100</v>
      </c>
    </row>
    <row r="55" ht="26.25">
      <c r="A55" s="239" t="s">
        <v>101</v>
      </c>
    </row>
    <row r="56" ht="12.75">
      <c r="A56" s="238"/>
    </row>
    <row r="57" ht="12.75">
      <c r="A57" s="238" t="s">
        <v>102</v>
      </c>
    </row>
    <row r="58" ht="12.75">
      <c r="A58" s="238" t="s">
        <v>103</v>
      </c>
    </row>
    <row r="59" ht="12.75">
      <c r="A59" s="242"/>
    </row>
    <row r="60" ht="12.75">
      <c r="A60" s="246" t="s">
        <v>104</v>
      </c>
    </row>
    <row r="61" ht="12.75">
      <c r="A61" s="247" t="s">
        <v>105</v>
      </c>
    </row>
    <row r="62" ht="52.5">
      <c r="A62" s="239" t="s">
        <v>119</v>
      </c>
    </row>
    <row r="63" ht="12.75">
      <c r="A63" s="238"/>
    </row>
    <row r="64" ht="12.75">
      <c r="A64" s="247" t="s">
        <v>106</v>
      </c>
    </row>
    <row r="65" ht="39">
      <c r="A65" s="239" t="s">
        <v>117</v>
      </c>
    </row>
    <row r="66" ht="26.25">
      <c r="A66" s="239" t="s">
        <v>107</v>
      </c>
    </row>
    <row r="67" ht="39">
      <c r="A67" s="239" t="s">
        <v>118</v>
      </c>
    </row>
    <row r="68" ht="12.75">
      <c r="A68" s="238"/>
    </row>
    <row r="69" ht="12.75">
      <c r="A69" s="247" t="s">
        <v>108</v>
      </c>
    </row>
    <row r="70" ht="57.75" customHeight="1">
      <c r="A70" s="239" t="s">
        <v>111</v>
      </c>
    </row>
    <row r="71" ht="14.25">
      <c r="A71" s="248"/>
    </row>
    <row r="78" ht="12.75">
      <c r="A78">
        <f>A79</f>
        <v>0</v>
      </c>
    </row>
    <row r="91" ht="12.75">
      <c r="A91" s="23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110"/>
  <sheetViews>
    <sheetView zoomScalePageLayoutView="0" workbookViewId="0" topLeftCell="A1">
      <selection activeCell="A94" sqref="A94"/>
    </sheetView>
  </sheetViews>
  <sheetFormatPr defaultColWidth="9.28125" defaultRowHeight="12.75"/>
  <cols>
    <col min="1" max="1" width="31.28125" style="4" customWidth="1"/>
    <col min="2" max="10" width="10.421875" style="4" customWidth="1"/>
    <col min="11" max="16384" width="9.28125" style="4" customWidth="1"/>
  </cols>
  <sheetData>
    <row r="1" spans="1:10" ht="12.75">
      <c r="A1" s="1" t="s">
        <v>122</v>
      </c>
      <c r="B1" s="2" t="s">
        <v>0</v>
      </c>
      <c r="C1" s="2"/>
      <c r="D1" s="2"/>
      <c r="E1" s="2"/>
      <c r="F1" s="2"/>
      <c r="G1" s="2"/>
      <c r="H1" s="2"/>
      <c r="I1" s="2"/>
      <c r="J1" s="2"/>
    </row>
    <row r="2" spans="1:10" ht="12.75">
      <c r="A2" s="255" t="s">
        <v>1</v>
      </c>
      <c r="B2" s="255"/>
      <c r="C2" s="255"/>
      <c r="D2" s="255"/>
      <c r="E2" s="255"/>
      <c r="F2" s="255"/>
      <c r="G2" s="255"/>
      <c r="H2" s="255"/>
      <c r="I2" s="255"/>
      <c r="J2" s="255"/>
    </row>
    <row r="3" spans="1:10" ht="12.75">
      <c r="A3" s="5"/>
      <c r="B3" s="7"/>
      <c r="C3" s="7"/>
      <c r="D3" s="7"/>
      <c r="E3" s="6"/>
      <c r="F3" s="6"/>
      <c r="G3" s="6"/>
      <c r="H3" s="6"/>
      <c r="I3" s="6"/>
      <c r="J3" s="6"/>
    </row>
    <row r="4" spans="1:10" ht="12.75">
      <c r="A4" s="5" t="s">
        <v>123</v>
      </c>
      <c r="B4" s="7"/>
      <c r="C4" s="7"/>
      <c r="D4" s="7"/>
      <c r="E4" s="6"/>
      <c r="F4" s="6"/>
      <c r="G4" s="6"/>
      <c r="H4" s="6"/>
      <c r="I4" s="6"/>
      <c r="J4" s="6"/>
    </row>
    <row r="5" spans="1:10" ht="13.5" thickBot="1">
      <c r="A5" s="2"/>
      <c r="B5" s="2"/>
      <c r="C5" s="2"/>
      <c r="D5" s="2"/>
      <c r="E5" s="2"/>
      <c r="F5" s="2"/>
      <c r="G5" s="2"/>
      <c r="H5" s="2"/>
      <c r="I5" s="2"/>
      <c r="J5" s="2"/>
    </row>
    <row r="6" spans="1:10" ht="12.75">
      <c r="A6" s="8"/>
      <c r="B6" s="9" t="s">
        <v>2</v>
      </c>
      <c r="C6" s="10"/>
      <c r="D6" s="10"/>
      <c r="E6" s="9" t="s">
        <v>3</v>
      </c>
      <c r="F6" s="10"/>
      <c r="G6" s="10"/>
      <c r="H6" s="9" t="s">
        <v>4</v>
      </c>
      <c r="I6" s="10"/>
      <c r="J6" s="10"/>
    </row>
    <row r="7" spans="1:10" s="156" customFormat="1" ht="12.75">
      <c r="A7" s="64"/>
      <c r="B7" s="175" t="s">
        <v>5</v>
      </c>
      <c r="C7" s="176" t="s">
        <v>6</v>
      </c>
      <c r="D7" s="176" t="s">
        <v>4</v>
      </c>
      <c r="E7" s="175" t="s">
        <v>5</v>
      </c>
      <c r="F7" s="176" t="s">
        <v>6</v>
      </c>
      <c r="G7" s="176" t="s">
        <v>4</v>
      </c>
      <c r="H7" s="175" t="s">
        <v>5</v>
      </c>
      <c r="I7" s="176" t="s">
        <v>6</v>
      </c>
      <c r="J7" s="176" t="s">
        <v>4</v>
      </c>
    </row>
    <row r="8" spans="1:10" ht="12.75">
      <c r="A8" s="2"/>
      <c r="B8" s="11"/>
      <c r="C8" s="12"/>
      <c r="D8" s="12"/>
      <c r="E8" s="11"/>
      <c r="F8" s="12"/>
      <c r="G8" s="12"/>
      <c r="H8" s="11"/>
      <c r="I8" s="12"/>
      <c r="J8" s="12"/>
    </row>
    <row r="9" spans="1:10" ht="12.75">
      <c r="A9" s="1" t="s">
        <v>7</v>
      </c>
      <c r="B9" s="11"/>
      <c r="C9" s="12"/>
      <c r="D9" s="12"/>
      <c r="E9" s="11"/>
      <c r="F9" s="12"/>
      <c r="G9" s="12"/>
      <c r="H9" s="11"/>
      <c r="I9" s="12"/>
      <c r="J9" s="12"/>
    </row>
    <row r="10" spans="1:10" ht="12.75">
      <c r="A10" s="2" t="s">
        <v>42</v>
      </c>
      <c r="B10" s="192">
        <v>1046</v>
      </c>
      <c r="C10" s="193">
        <v>7195</v>
      </c>
      <c r="D10" s="189">
        <f>SUM(B10:C10)</f>
        <v>8241</v>
      </c>
      <c r="E10" s="194">
        <v>148</v>
      </c>
      <c r="F10" s="194">
        <v>790</v>
      </c>
      <c r="G10" s="12">
        <f>SUM(E10:F10)</f>
        <v>938</v>
      </c>
      <c r="H10" s="11">
        <f aca="true" t="shared" si="0" ref="H10:I13">SUM(B10,E10)</f>
        <v>1194</v>
      </c>
      <c r="I10" s="12">
        <f t="shared" si="0"/>
        <v>7985</v>
      </c>
      <c r="J10" s="12">
        <f>SUM(H10:I10)</f>
        <v>9179</v>
      </c>
    </row>
    <row r="11" spans="1:10" ht="12.75">
      <c r="A11" s="2" t="s">
        <v>8</v>
      </c>
      <c r="B11" s="192">
        <v>4360</v>
      </c>
      <c r="C11" s="193">
        <v>26431</v>
      </c>
      <c r="D11" s="189">
        <f>SUM(B11:C11)</f>
        <v>30791</v>
      </c>
      <c r="E11" s="194">
        <v>357</v>
      </c>
      <c r="F11" s="194">
        <v>2536</v>
      </c>
      <c r="G11" s="12">
        <f>SUM(E11:F11)</f>
        <v>2893</v>
      </c>
      <c r="H11" s="11">
        <f t="shared" si="0"/>
        <v>4717</v>
      </c>
      <c r="I11" s="12">
        <f t="shared" si="0"/>
        <v>28967</v>
      </c>
      <c r="J11" s="12">
        <f>SUM(H11:I11)</f>
        <v>33684</v>
      </c>
    </row>
    <row r="12" spans="1:10" ht="12.75">
      <c r="A12" s="2" t="s">
        <v>9</v>
      </c>
      <c r="B12" s="192">
        <v>2</v>
      </c>
      <c r="C12" s="193">
        <v>24</v>
      </c>
      <c r="D12" s="189">
        <f>SUM(B12:C12)</f>
        <v>26</v>
      </c>
      <c r="E12" s="194">
        <v>0</v>
      </c>
      <c r="F12" s="194">
        <v>3</v>
      </c>
      <c r="G12" s="12">
        <f>SUM(E12:F12)</f>
        <v>3</v>
      </c>
      <c r="H12" s="13">
        <f t="shared" si="0"/>
        <v>2</v>
      </c>
      <c r="I12" s="12">
        <f t="shared" si="0"/>
        <v>27</v>
      </c>
      <c r="J12" s="12">
        <f>SUM(H12:I12)</f>
        <v>29</v>
      </c>
    </row>
    <row r="13" spans="1:10" ht="12.75">
      <c r="A13" s="3" t="s">
        <v>10</v>
      </c>
      <c r="B13" s="195">
        <v>1711</v>
      </c>
      <c r="C13" s="196">
        <v>10477</v>
      </c>
      <c r="D13" s="190">
        <f>SUM(B13:C13)</f>
        <v>12188</v>
      </c>
      <c r="E13" s="194">
        <v>139</v>
      </c>
      <c r="F13" s="194">
        <v>1023</v>
      </c>
      <c r="G13" s="12">
        <f>SUM(E13:F13)</f>
        <v>1162</v>
      </c>
      <c r="H13" s="11">
        <f t="shared" si="0"/>
        <v>1850</v>
      </c>
      <c r="I13" s="12">
        <f t="shared" si="0"/>
        <v>11500</v>
      </c>
      <c r="J13" s="12">
        <f>SUM(H13:I13)</f>
        <v>13350</v>
      </c>
    </row>
    <row r="14" spans="1:10" s="17" customFormat="1" ht="12.75">
      <c r="A14" s="14" t="s">
        <v>4</v>
      </c>
      <c r="B14" s="15">
        <f>SUM(B10:B13)</f>
        <v>7119</v>
      </c>
      <c r="C14" s="16">
        <f aca="true" t="shared" si="1" ref="C14:J14">SUM(C10:C13)</f>
        <v>44127</v>
      </c>
      <c r="D14" s="16">
        <f t="shared" si="1"/>
        <v>51246</v>
      </c>
      <c r="E14" s="15">
        <f t="shared" si="1"/>
        <v>644</v>
      </c>
      <c r="F14" s="16">
        <f t="shared" si="1"/>
        <v>4352</v>
      </c>
      <c r="G14" s="16">
        <f t="shared" si="1"/>
        <v>4996</v>
      </c>
      <c r="H14" s="15">
        <f t="shared" si="1"/>
        <v>7763</v>
      </c>
      <c r="I14" s="16">
        <f t="shared" si="1"/>
        <v>48479</v>
      </c>
      <c r="J14" s="16">
        <f t="shared" si="1"/>
        <v>56242</v>
      </c>
    </row>
    <row r="15" spans="1:10" ht="12.75">
      <c r="A15" s="3"/>
      <c r="B15" s="11"/>
      <c r="C15" s="12"/>
      <c r="D15" s="12"/>
      <c r="E15" s="11"/>
      <c r="F15" s="12"/>
      <c r="G15" s="12"/>
      <c r="H15" s="11"/>
      <c r="I15" s="12"/>
      <c r="J15" s="12"/>
    </row>
    <row r="16" spans="1:10" ht="12.75">
      <c r="A16" s="1" t="s">
        <v>11</v>
      </c>
      <c r="B16" s="11"/>
      <c r="C16" s="12"/>
      <c r="D16" s="12"/>
      <c r="E16" s="11"/>
      <c r="F16" s="12"/>
      <c r="G16" s="12"/>
      <c r="H16" s="11"/>
      <c r="I16" s="12"/>
      <c r="J16" s="12"/>
    </row>
    <row r="17" spans="1:10" ht="12.75">
      <c r="A17" s="2" t="s">
        <v>42</v>
      </c>
      <c r="B17" s="192">
        <v>248</v>
      </c>
      <c r="C17" s="193">
        <v>1299</v>
      </c>
      <c r="D17" s="189">
        <f>SUM(B17:C17)</f>
        <v>1547</v>
      </c>
      <c r="E17" s="194">
        <v>53</v>
      </c>
      <c r="F17" s="194">
        <v>641</v>
      </c>
      <c r="G17" s="12">
        <f>SUM(E17:F17)</f>
        <v>694</v>
      </c>
      <c r="H17" s="11">
        <f aca="true" t="shared" si="2" ref="H17:I20">SUM(B17,E17)</f>
        <v>301</v>
      </c>
      <c r="I17" s="12">
        <f t="shared" si="2"/>
        <v>1940</v>
      </c>
      <c r="J17" s="12">
        <f>SUM(H17:I17)</f>
        <v>2241</v>
      </c>
    </row>
    <row r="18" spans="1:10" ht="12.75">
      <c r="A18" s="2" t="s">
        <v>8</v>
      </c>
      <c r="B18" s="192">
        <v>653</v>
      </c>
      <c r="C18" s="193">
        <v>3082</v>
      </c>
      <c r="D18" s="189">
        <f>SUM(B18:C18)</f>
        <v>3735</v>
      </c>
      <c r="E18" s="194">
        <v>96</v>
      </c>
      <c r="F18" s="194">
        <v>1269</v>
      </c>
      <c r="G18" s="12">
        <f>SUM(E18:F18)</f>
        <v>1365</v>
      </c>
      <c r="H18" s="11">
        <f t="shared" si="2"/>
        <v>749</v>
      </c>
      <c r="I18" s="12">
        <f t="shared" si="2"/>
        <v>4351</v>
      </c>
      <c r="J18" s="12">
        <f>SUM(H18:I18)</f>
        <v>5100</v>
      </c>
    </row>
    <row r="19" spans="1:10" ht="12.75">
      <c r="A19" s="2" t="s">
        <v>9</v>
      </c>
      <c r="B19" s="192">
        <v>17</v>
      </c>
      <c r="C19" s="193">
        <v>92</v>
      </c>
      <c r="D19" s="191">
        <f>SUM(B19:C19)</f>
        <v>109</v>
      </c>
      <c r="E19" s="194">
        <v>1</v>
      </c>
      <c r="F19" s="194">
        <v>27</v>
      </c>
      <c r="G19" s="18">
        <f>SUM(E19:F19)</f>
        <v>28</v>
      </c>
      <c r="H19" s="13">
        <f t="shared" si="2"/>
        <v>18</v>
      </c>
      <c r="I19" s="18">
        <f t="shared" si="2"/>
        <v>119</v>
      </c>
      <c r="J19" s="18">
        <f>SUM(H19:I19)</f>
        <v>137</v>
      </c>
    </row>
    <row r="20" spans="1:10" ht="12.75">
      <c r="A20" s="2" t="s">
        <v>10</v>
      </c>
      <c r="B20" s="195">
        <v>118</v>
      </c>
      <c r="C20" s="196">
        <v>718</v>
      </c>
      <c r="D20" s="190">
        <f>SUM(B20:C20)</f>
        <v>836</v>
      </c>
      <c r="E20" s="194">
        <v>14</v>
      </c>
      <c r="F20" s="194">
        <v>295</v>
      </c>
      <c r="G20" s="12">
        <f>SUM(E20:F20)</f>
        <v>309</v>
      </c>
      <c r="H20" s="11">
        <f t="shared" si="2"/>
        <v>132</v>
      </c>
      <c r="I20" s="12">
        <f t="shared" si="2"/>
        <v>1013</v>
      </c>
      <c r="J20" s="12">
        <f>SUM(H20:I20)</f>
        <v>1145</v>
      </c>
    </row>
    <row r="21" spans="1:10" s="17" customFormat="1" ht="12.75">
      <c r="A21" s="19" t="s">
        <v>4</v>
      </c>
      <c r="B21" s="15">
        <f aca="true" t="shared" si="3" ref="B21:J21">SUM(B17:B20)</f>
        <v>1036</v>
      </c>
      <c r="C21" s="16">
        <f t="shared" si="3"/>
        <v>5191</v>
      </c>
      <c r="D21" s="16">
        <f t="shared" si="3"/>
        <v>6227</v>
      </c>
      <c r="E21" s="15">
        <f t="shared" si="3"/>
        <v>164</v>
      </c>
      <c r="F21" s="16">
        <f t="shared" si="3"/>
        <v>2232</v>
      </c>
      <c r="G21" s="16">
        <f t="shared" si="3"/>
        <v>2396</v>
      </c>
      <c r="H21" s="15">
        <f t="shared" si="3"/>
        <v>1200</v>
      </c>
      <c r="I21" s="16">
        <f t="shared" si="3"/>
        <v>7423</v>
      </c>
      <c r="J21" s="16">
        <f t="shared" si="3"/>
        <v>8623</v>
      </c>
    </row>
    <row r="22" spans="1:10" ht="12.75">
      <c r="A22" s="2"/>
      <c r="B22" s="11"/>
      <c r="C22" s="12"/>
      <c r="D22" s="12"/>
      <c r="E22" s="11"/>
      <c r="F22" s="12"/>
      <c r="G22" s="12"/>
      <c r="H22" s="11"/>
      <c r="I22" s="12"/>
      <c r="J22" s="12"/>
    </row>
    <row r="23" spans="1:10" ht="12.75">
      <c r="A23" s="1" t="s">
        <v>12</v>
      </c>
      <c r="B23" s="11"/>
      <c r="C23" s="12"/>
      <c r="D23" s="12"/>
      <c r="E23" s="11"/>
      <c r="F23" s="12"/>
      <c r="G23" s="12"/>
      <c r="H23" s="11"/>
      <c r="I23" s="12"/>
      <c r="J23" s="12"/>
    </row>
    <row r="24" spans="1:10" ht="12.75">
      <c r="A24" s="2" t="s">
        <v>42</v>
      </c>
      <c r="B24" s="192">
        <v>4402</v>
      </c>
      <c r="C24" s="193">
        <v>6755</v>
      </c>
      <c r="D24" s="189">
        <f>SUM(B24:C24)</f>
        <v>11157</v>
      </c>
      <c r="E24" s="194">
        <v>382</v>
      </c>
      <c r="F24" s="194">
        <v>1092</v>
      </c>
      <c r="G24" s="12">
        <f>SUM(E24:F24)</f>
        <v>1474</v>
      </c>
      <c r="H24" s="11">
        <f aca="true" t="shared" si="4" ref="H24:I27">SUM(B24,E24)</f>
        <v>4784</v>
      </c>
      <c r="I24" s="12">
        <f t="shared" si="4"/>
        <v>7847</v>
      </c>
      <c r="J24" s="12">
        <f>SUM(H24:I24)</f>
        <v>12631</v>
      </c>
    </row>
    <row r="25" spans="1:10" ht="12.75">
      <c r="A25" s="2" t="s">
        <v>8</v>
      </c>
      <c r="B25" s="192">
        <v>14358</v>
      </c>
      <c r="C25" s="193">
        <v>23183</v>
      </c>
      <c r="D25" s="189">
        <f>SUM(B25:C25)</f>
        <v>37541</v>
      </c>
      <c r="E25" s="194">
        <v>1215</v>
      </c>
      <c r="F25" s="194">
        <v>2914</v>
      </c>
      <c r="G25" s="12">
        <f>SUM(E25:F25)</f>
        <v>4129</v>
      </c>
      <c r="H25" s="11">
        <f t="shared" si="4"/>
        <v>15573</v>
      </c>
      <c r="I25" s="12">
        <f t="shared" si="4"/>
        <v>26097</v>
      </c>
      <c r="J25" s="12">
        <f>SUM(H25:I25)</f>
        <v>41670</v>
      </c>
    </row>
    <row r="26" spans="1:10" ht="12.75">
      <c r="A26" s="2" t="s">
        <v>9</v>
      </c>
      <c r="B26" s="192">
        <v>1061</v>
      </c>
      <c r="C26" s="193">
        <v>1048</v>
      </c>
      <c r="D26" s="189">
        <f>SUM(B26:C26)</f>
        <v>2109</v>
      </c>
      <c r="E26" s="194">
        <v>66</v>
      </c>
      <c r="F26" s="194">
        <v>158</v>
      </c>
      <c r="G26" s="12">
        <f>SUM(E26:F26)</f>
        <v>224</v>
      </c>
      <c r="H26" s="11">
        <f t="shared" si="4"/>
        <v>1127</v>
      </c>
      <c r="I26" s="12">
        <f t="shared" si="4"/>
        <v>1206</v>
      </c>
      <c r="J26" s="12">
        <f>SUM(H26:I26)</f>
        <v>2333</v>
      </c>
    </row>
    <row r="27" spans="1:10" ht="12.75">
      <c r="A27" s="3" t="s">
        <v>10</v>
      </c>
      <c r="B27" s="195">
        <v>1314</v>
      </c>
      <c r="C27" s="196">
        <v>1520</v>
      </c>
      <c r="D27" s="190">
        <f>SUM(B27:C27)</f>
        <v>2834</v>
      </c>
      <c r="E27" s="194">
        <v>93</v>
      </c>
      <c r="F27" s="194">
        <v>232</v>
      </c>
      <c r="G27" s="12">
        <f>SUM(E27:F27)</f>
        <v>325</v>
      </c>
      <c r="H27" s="11">
        <f t="shared" si="4"/>
        <v>1407</v>
      </c>
      <c r="I27" s="12">
        <f t="shared" si="4"/>
        <v>1752</v>
      </c>
      <c r="J27" s="12">
        <f>SUM(H27:I27)</f>
        <v>3159</v>
      </c>
    </row>
    <row r="28" spans="1:10" s="17" customFormat="1" ht="12.75">
      <c r="A28" s="14" t="s">
        <v>4</v>
      </c>
      <c r="B28" s="15">
        <f aca="true" t="shared" si="5" ref="B28:J28">SUM(B24:B27)</f>
        <v>21135</v>
      </c>
      <c r="C28" s="16">
        <f t="shared" si="5"/>
        <v>32506</v>
      </c>
      <c r="D28" s="16">
        <f t="shared" si="5"/>
        <v>53641</v>
      </c>
      <c r="E28" s="15">
        <f t="shared" si="5"/>
        <v>1756</v>
      </c>
      <c r="F28" s="16">
        <f t="shared" si="5"/>
        <v>4396</v>
      </c>
      <c r="G28" s="16">
        <f t="shared" si="5"/>
        <v>6152</v>
      </c>
      <c r="H28" s="15">
        <f t="shared" si="5"/>
        <v>22891</v>
      </c>
      <c r="I28" s="16">
        <f t="shared" si="5"/>
        <v>36902</v>
      </c>
      <c r="J28" s="16">
        <f t="shared" si="5"/>
        <v>59793</v>
      </c>
    </row>
    <row r="29" spans="1:10" ht="12.75">
      <c r="A29" s="3"/>
      <c r="B29" s="11"/>
      <c r="C29" s="12"/>
      <c r="D29" s="12"/>
      <c r="E29" s="11"/>
      <c r="F29" s="12"/>
      <c r="G29" s="12"/>
      <c r="H29" s="11"/>
      <c r="I29" s="12"/>
      <c r="J29" s="12"/>
    </row>
    <row r="30" spans="1:10" ht="12.75">
      <c r="A30" s="1" t="s">
        <v>13</v>
      </c>
      <c r="B30" s="11"/>
      <c r="C30" s="12"/>
      <c r="D30" s="12"/>
      <c r="E30" s="11"/>
      <c r="F30" s="12"/>
      <c r="G30" s="12"/>
      <c r="H30" s="11"/>
      <c r="I30" s="12"/>
      <c r="J30" s="12"/>
    </row>
    <row r="31" spans="1:10" ht="12.75">
      <c r="A31" s="2" t="s">
        <v>42</v>
      </c>
      <c r="B31" s="192">
        <v>608</v>
      </c>
      <c r="C31" s="193">
        <v>1127</v>
      </c>
      <c r="D31" s="189">
        <f>SUM(B31:C31)</f>
        <v>1735</v>
      </c>
      <c r="E31" s="11">
        <v>47</v>
      </c>
      <c r="F31" s="12">
        <v>332</v>
      </c>
      <c r="G31" s="12">
        <f>SUM(E31:F31)</f>
        <v>379</v>
      </c>
      <c r="H31" s="11">
        <f aca="true" t="shared" si="6" ref="H31:I34">SUM(B31,E31)</f>
        <v>655</v>
      </c>
      <c r="I31" s="12">
        <f t="shared" si="6"/>
        <v>1459</v>
      </c>
      <c r="J31" s="12">
        <f>SUM(H31:I31)</f>
        <v>2114</v>
      </c>
    </row>
    <row r="32" spans="1:10" ht="12.75">
      <c r="A32" s="2" t="s">
        <v>8</v>
      </c>
      <c r="B32" s="192">
        <v>1452</v>
      </c>
      <c r="C32" s="193">
        <v>2874</v>
      </c>
      <c r="D32" s="189">
        <f>SUM(B32:C32)</f>
        <v>4326</v>
      </c>
      <c r="E32" s="11">
        <v>140</v>
      </c>
      <c r="F32" s="12">
        <v>656</v>
      </c>
      <c r="G32" s="12">
        <f>SUM(E32:F32)</f>
        <v>796</v>
      </c>
      <c r="H32" s="11">
        <f t="shared" si="6"/>
        <v>1592</v>
      </c>
      <c r="I32" s="12">
        <f t="shared" si="6"/>
        <v>3530</v>
      </c>
      <c r="J32" s="12">
        <f>SUM(H32:I32)</f>
        <v>5122</v>
      </c>
    </row>
    <row r="33" spans="1:10" ht="12.75">
      <c r="A33" s="2" t="s">
        <v>9</v>
      </c>
      <c r="B33" s="192">
        <v>53</v>
      </c>
      <c r="C33" s="193">
        <v>53</v>
      </c>
      <c r="D33" s="189">
        <f>SUM(B33:C33)</f>
        <v>106</v>
      </c>
      <c r="E33" s="13">
        <v>4</v>
      </c>
      <c r="F33" s="12">
        <v>12</v>
      </c>
      <c r="G33" s="12">
        <f>SUM(E33:F33)</f>
        <v>16</v>
      </c>
      <c r="H33" s="13">
        <f t="shared" si="6"/>
        <v>57</v>
      </c>
      <c r="I33" s="12">
        <f t="shared" si="6"/>
        <v>65</v>
      </c>
      <c r="J33" s="12">
        <f>SUM(H33:I33)</f>
        <v>122</v>
      </c>
    </row>
    <row r="34" spans="1:10" ht="12.75">
      <c r="A34" s="2" t="s">
        <v>10</v>
      </c>
      <c r="B34" s="195">
        <v>290</v>
      </c>
      <c r="C34" s="196">
        <v>473</v>
      </c>
      <c r="D34" s="190">
        <f>SUM(B34:C34)</f>
        <v>763</v>
      </c>
      <c r="E34" s="11">
        <v>22</v>
      </c>
      <c r="F34" s="12">
        <v>102</v>
      </c>
      <c r="G34" s="12">
        <f>SUM(E34:F34)</f>
        <v>124</v>
      </c>
      <c r="H34" s="11">
        <f t="shared" si="6"/>
        <v>312</v>
      </c>
      <c r="I34" s="12">
        <f t="shared" si="6"/>
        <v>575</v>
      </c>
      <c r="J34" s="12">
        <f>SUM(H34:I34)</f>
        <v>887</v>
      </c>
    </row>
    <row r="35" spans="1:10" s="17" customFormat="1" ht="12.75">
      <c r="A35" s="19" t="s">
        <v>4</v>
      </c>
      <c r="B35" s="15">
        <f aca="true" t="shared" si="7" ref="B35:J35">SUM(B31:B34)</f>
        <v>2403</v>
      </c>
      <c r="C35" s="16">
        <f t="shared" si="7"/>
        <v>4527</v>
      </c>
      <c r="D35" s="16">
        <f t="shared" si="7"/>
        <v>6930</v>
      </c>
      <c r="E35" s="15">
        <f t="shared" si="7"/>
        <v>213</v>
      </c>
      <c r="F35" s="16">
        <f t="shared" si="7"/>
        <v>1102</v>
      </c>
      <c r="G35" s="16">
        <f t="shared" si="7"/>
        <v>1315</v>
      </c>
      <c r="H35" s="15">
        <f t="shared" si="7"/>
        <v>2616</v>
      </c>
      <c r="I35" s="16">
        <f t="shared" si="7"/>
        <v>5629</v>
      </c>
      <c r="J35" s="16">
        <f t="shared" si="7"/>
        <v>8245</v>
      </c>
    </row>
    <row r="36" spans="1:10" s="17" customFormat="1" ht="12.75">
      <c r="A36" s="19"/>
      <c r="B36" s="20"/>
      <c r="C36" s="21"/>
      <c r="D36" s="21"/>
      <c r="E36" s="20"/>
      <c r="F36" s="21"/>
      <c r="G36" s="21"/>
      <c r="H36" s="20"/>
      <c r="I36" s="21"/>
      <c r="J36" s="21"/>
    </row>
    <row r="37" spans="1:10" s="17" customFormat="1" ht="12.75">
      <c r="A37" s="1" t="s">
        <v>75</v>
      </c>
      <c r="B37" s="20"/>
      <c r="C37" s="21"/>
      <c r="D37" s="21"/>
      <c r="E37" s="20"/>
      <c r="F37" s="21"/>
      <c r="G37" s="21"/>
      <c r="H37" s="20"/>
      <c r="I37" s="21"/>
      <c r="J37" s="21"/>
    </row>
    <row r="38" spans="1:10" s="17" customFormat="1" ht="12.75">
      <c r="A38" s="2" t="s">
        <v>42</v>
      </c>
      <c r="B38" s="13">
        <v>25</v>
      </c>
      <c r="C38" s="68">
        <v>148</v>
      </c>
      <c r="D38" s="68">
        <f>SUM(B38:C38)</f>
        <v>173</v>
      </c>
      <c r="E38" s="13">
        <v>0</v>
      </c>
      <c r="F38" s="68">
        <v>0</v>
      </c>
      <c r="G38" s="68">
        <f>SUM(E38:F38)</f>
        <v>0</v>
      </c>
      <c r="H38" s="13">
        <f aca="true" t="shared" si="8" ref="H38:I41">SUM(B38,E38)</f>
        <v>25</v>
      </c>
      <c r="I38" s="68">
        <f t="shared" si="8"/>
        <v>148</v>
      </c>
      <c r="J38" s="68">
        <f>SUM(H38:I38)</f>
        <v>173</v>
      </c>
    </row>
    <row r="39" spans="1:10" s="17" customFormat="1" ht="12.75">
      <c r="A39" s="2" t="s">
        <v>8</v>
      </c>
      <c r="B39" s="13">
        <v>115</v>
      </c>
      <c r="C39" s="68">
        <v>826</v>
      </c>
      <c r="D39" s="68">
        <f>SUM(B39:C39)</f>
        <v>941</v>
      </c>
      <c r="E39" s="13">
        <v>2</v>
      </c>
      <c r="F39" s="68">
        <v>18</v>
      </c>
      <c r="G39" s="68">
        <f>SUM(E39:F39)</f>
        <v>20</v>
      </c>
      <c r="H39" s="13">
        <f t="shared" si="8"/>
        <v>117</v>
      </c>
      <c r="I39" s="68">
        <f t="shared" si="8"/>
        <v>844</v>
      </c>
      <c r="J39" s="68">
        <f>SUM(H39:I39)</f>
        <v>961</v>
      </c>
    </row>
    <row r="40" spans="1:10" s="17" customFormat="1" ht="12.75">
      <c r="A40" s="2" t="s">
        <v>9</v>
      </c>
      <c r="B40" s="13">
        <v>19</v>
      </c>
      <c r="C40" s="68">
        <v>83</v>
      </c>
      <c r="D40" s="68">
        <f>SUM(B40:C40)</f>
        <v>102</v>
      </c>
      <c r="E40" s="13">
        <v>0</v>
      </c>
      <c r="F40" s="68">
        <v>0</v>
      </c>
      <c r="G40" s="68">
        <f>SUM(E40:F40)</f>
        <v>0</v>
      </c>
      <c r="H40" s="13">
        <f t="shared" si="8"/>
        <v>19</v>
      </c>
      <c r="I40" s="68">
        <f t="shared" si="8"/>
        <v>83</v>
      </c>
      <c r="J40" s="68">
        <f>SUM(H40:I40)</f>
        <v>102</v>
      </c>
    </row>
    <row r="41" spans="1:10" s="17" customFormat="1" ht="12.75">
      <c r="A41" s="2" t="s">
        <v>10</v>
      </c>
      <c r="B41" s="13">
        <v>5</v>
      </c>
      <c r="C41" s="68">
        <v>21</v>
      </c>
      <c r="D41" s="68">
        <f>SUM(B41:C41)</f>
        <v>26</v>
      </c>
      <c r="E41" s="13">
        <v>0</v>
      </c>
      <c r="F41" s="68">
        <v>0</v>
      </c>
      <c r="G41" s="68">
        <f>SUM(E41:F41)</f>
        <v>0</v>
      </c>
      <c r="H41" s="13">
        <f t="shared" si="8"/>
        <v>5</v>
      </c>
      <c r="I41" s="68">
        <f t="shared" si="8"/>
        <v>21</v>
      </c>
      <c r="J41" s="68">
        <f>SUM(H41:I41)</f>
        <v>26</v>
      </c>
    </row>
    <row r="42" spans="1:10" ht="12.75">
      <c r="A42" s="19" t="s">
        <v>4</v>
      </c>
      <c r="B42" s="70">
        <f aca="true" t="shared" si="9" ref="B42:J42">SUM(B38:B41)</f>
        <v>164</v>
      </c>
      <c r="C42" s="71">
        <f t="shared" si="9"/>
        <v>1078</v>
      </c>
      <c r="D42" s="208">
        <f t="shared" si="9"/>
        <v>1242</v>
      </c>
      <c r="E42" s="70">
        <f t="shared" si="9"/>
        <v>2</v>
      </c>
      <c r="F42" s="71">
        <f t="shared" si="9"/>
        <v>18</v>
      </c>
      <c r="G42" s="208">
        <f t="shared" si="9"/>
        <v>20</v>
      </c>
      <c r="H42" s="70">
        <f t="shared" si="9"/>
        <v>166</v>
      </c>
      <c r="I42" s="71">
        <f t="shared" si="9"/>
        <v>1096</v>
      </c>
      <c r="J42" s="71">
        <f t="shared" si="9"/>
        <v>1262</v>
      </c>
    </row>
    <row r="43" spans="1:10" ht="12.75">
      <c r="A43" s="19"/>
      <c r="B43" s="11"/>
      <c r="C43" s="12"/>
      <c r="D43" s="12"/>
      <c r="E43" s="11"/>
      <c r="F43" s="12"/>
      <c r="G43" s="12"/>
      <c r="H43" s="11"/>
      <c r="I43" s="12"/>
      <c r="J43" s="12"/>
    </row>
    <row r="44" spans="1:10" ht="12.75">
      <c r="A44" s="1" t="s">
        <v>14</v>
      </c>
      <c r="B44" s="11"/>
      <c r="C44" s="12"/>
      <c r="D44" s="12"/>
      <c r="E44" s="11"/>
      <c r="F44" s="12"/>
      <c r="G44" s="12"/>
      <c r="H44" s="11"/>
      <c r="I44" s="12"/>
      <c r="J44" s="12"/>
    </row>
    <row r="45" spans="1:10" s="17" customFormat="1" ht="12.75">
      <c r="A45" s="19" t="s">
        <v>4</v>
      </c>
      <c r="B45" s="20">
        <v>2723</v>
      </c>
      <c r="C45" s="21">
        <v>3579</v>
      </c>
      <c r="D45" s="21">
        <f>SUM(B45:C45)</f>
        <v>6302</v>
      </c>
      <c r="E45" s="20">
        <v>675</v>
      </c>
      <c r="F45" s="21">
        <v>1303</v>
      </c>
      <c r="G45" s="21">
        <f>SUM(E45:F45)</f>
        <v>1978</v>
      </c>
      <c r="H45" s="20">
        <f>SUM(B45,E45)</f>
        <v>3398</v>
      </c>
      <c r="I45" s="21">
        <f>SUM(C45,F45)</f>
        <v>4882</v>
      </c>
      <c r="J45" s="21">
        <f>SUM(H45:I45)</f>
        <v>8280</v>
      </c>
    </row>
    <row r="46" spans="1:10" s="17" customFormat="1" ht="12.75">
      <c r="A46" s="19"/>
      <c r="B46" s="20"/>
      <c r="C46" s="21"/>
      <c r="D46" s="21"/>
      <c r="E46" s="20"/>
      <c r="F46" s="21"/>
      <c r="G46" s="21"/>
      <c r="H46" s="20"/>
      <c r="I46" s="21"/>
      <c r="J46" s="21"/>
    </row>
    <row r="47" spans="1:10" s="17" customFormat="1" ht="12.75">
      <c r="A47" s="202" t="s">
        <v>50</v>
      </c>
      <c r="B47" s="20"/>
      <c r="C47" s="21"/>
      <c r="D47" s="21"/>
      <c r="E47" s="20"/>
      <c r="F47" s="21"/>
      <c r="G47" s="21"/>
      <c r="H47" s="20"/>
      <c r="I47" s="21"/>
      <c r="J47" s="21"/>
    </row>
    <row r="48" spans="1:10" s="17" customFormat="1" ht="12.75">
      <c r="A48" s="19" t="s">
        <v>4</v>
      </c>
      <c r="B48" s="20">
        <v>129</v>
      </c>
      <c r="C48" s="21">
        <v>687</v>
      </c>
      <c r="D48" s="21">
        <f>SUM(B48:C48)</f>
        <v>816</v>
      </c>
      <c r="E48" s="20">
        <v>8</v>
      </c>
      <c r="F48" s="21">
        <v>75</v>
      </c>
      <c r="G48" s="21">
        <f>SUM(E48:F48)</f>
        <v>83</v>
      </c>
      <c r="H48" s="20">
        <f>B48+E48</f>
        <v>137</v>
      </c>
      <c r="I48" s="21">
        <f>C48+F48</f>
        <v>762</v>
      </c>
      <c r="J48" s="21">
        <f>H48+I48</f>
        <v>899</v>
      </c>
    </row>
    <row r="49" spans="1:10" ht="12.75">
      <c r="A49" s="22"/>
      <c r="B49" s="23"/>
      <c r="C49" s="24"/>
      <c r="D49" s="24"/>
      <c r="E49" s="23"/>
      <c r="F49" s="24"/>
      <c r="G49" s="24"/>
      <c r="H49" s="23"/>
      <c r="I49" s="24"/>
      <c r="J49" s="24"/>
    </row>
    <row r="50" spans="1:10" ht="12.75">
      <c r="A50" s="1" t="s">
        <v>46</v>
      </c>
      <c r="B50" s="11"/>
      <c r="C50" s="12"/>
      <c r="D50" s="12"/>
      <c r="E50" s="11"/>
      <c r="F50" s="12"/>
      <c r="G50" s="12"/>
      <c r="H50" s="11"/>
      <c r="I50" s="12"/>
      <c r="J50" s="12"/>
    </row>
    <row r="51" spans="1:10" ht="12.75">
      <c r="A51" s="2" t="s">
        <v>42</v>
      </c>
      <c r="B51" s="11">
        <v>510</v>
      </c>
      <c r="C51" s="12">
        <v>976</v>
      </c>
      <c r="D51" s="12">
        <f>SUM(B51:C51)</f>
        <v>1486</v>
      </c>
      <c r="E51" s="11">
        <v>40</v>
      </c>
      <c r="F51" s="12">
        <v>180</v>
      </c>
      <c r="G51" s="12">
        <f>SUM(E51:F51)</f>
        <v>220</v>
      </c>
      <c r="H51" s="11">
        <f aca="true" t="shared" si="10" ref="H51:I54">SUM(B51,E51)</f>
        <v>550</v>
      </c>
      <c r="I51" s="12">
        <f t="shared" si="10"/>
        <v>1156</v>
      </c>
      <c r="J51" s="12">
        <f>SUM(H51:I51)</f>
        <v>1706</v>
      </c>
    </row>
    <row r="52" spans="1:10" ht="12.75">
      <c r="A52" s="2" t="s">
        <v>8</v>
      </c>
      <c r="B52" s="11">
        <v>560</v>
      </c>
      <c r="C52" s="12">
        <v>1268</v>
      </c>
      <c r="D52" s="12">
        <f>SUM(B52:C52)</f>
        <v>1828</v>
      </c>
      <c r="E52" s="11">
        <v>44</v>
      </c>
      <c r="F52" s="12">
        <v>210</v>
      </c>
      <c r="G52" s="12">
        <f>SUM(E52:F52)</f>
        <v>254</v>
      </c>
      <c r="H52" s="11">
        <f t="shared" si="10"/>
        <v>604</v>
      </c>
      <c r="I52" s="12">
        <f t="shared" si="10"/>
        <v>1478</v>
      </c>
      <c r="J52" s="12">
        <f>SUM(H52:I52)</f>
        <v>2082</v>
      </c>
    </row>
    <row r="53" spans="1:10" ht="12.75">
      <c r="A53" s="2" t="s">
        <v>9</v>
      </c>
      <c r="B53" s="11">
        <v>196</v>
      </c>
      <c r="C53" s="12">
        <v>315</v>
      </c>
      <c r="D53" s="12">
        <f>SUM(B53:C53)</f>
        <v>511</v>
      </c>
      <c r="E53" s="11">
        <v>17</v>
      </c>
      <c r="F53" s="12">
        <v>52</v>
      </c>
      <c r="G53" s="12">
        <f>SUM(E53:F53)</f>
        <v>69</v>
      </c>
      <c r="H53" s="11">
        <f t="shared" si="10"/>
        <v>213</v>
      </c>
      <c r="I53" s="12">
        <f t="shared" si="10"/>
        <v>367</v>
      </c>
      <c r="J53" s="12">
        <f>SUM(H53:I53)</f>
        <v>580</v>
      </c>
    </row>
    <row r="54" spans="1:10" ht="12.75">
      <c r="A54" s="2" t="s">
        <v>10</v>
      </c>
      <c r="B54" s="11">
        <v>212</v>
      </c>
      <c r="C54" s="12">
        <v>458</v>
      </c>
      <c r="D54" s="12">
        <f>SUM(B54:C54)</f>
        <v>670</v>
      </c>
      <c r="E54" s="11">
        <v>16</v>
      </c>
      <c r="F54" s="12">
        <v>63</v>
      </c>
      <c r="G54" s="12">
        <f>SUM(E54:F54)</f>
        <v>79</v>
      </c>
      <c r="H54" s="11">
        <f t="shared" si="10"/>
        <v>228</v>
      </c>
      <c r="I54" s="12">
        <f t="shared" si="10"/>
        <v>521</v>
      </c>
      <c r="J54" s="12">
        <f>SUM(H54:I54)</f>
        <v>749</v>
      </c>
    </row>
    <row r="55" spans="1:10" s="17" customFormat="1" ht="12.75">
      <c r="A55" s="19" t="s">
        <v>4</v>
      </c>
      <c r="B55" s="15">
        <f aca="true" t="shared" si="11" ref="B55:J55">SUM(B51:B54)</f>
        <v>1478</v>
      </c>
      <c r="C55" s="16">
        <f t="shared" si="11"/>
        <v>3017</v>
      </c>
      <c r="D55" s="16">
        <f t="shared" si="11"/>
        <v>4495</v>
      </c>
      <c r="E55" s="15">
        <f t="shared" si="11"/>
        <v>117</v>
      </c>
      <c r="F55" s="16">
        <f t="shared" si="11"/>
        <v>505</v>
      </c>
      <c r="G55" s="16">
        <f t="shared" si="11"/>
        <v>622</v>
      </c>
      <c r="H55" s="15">
        <f t="shared" si="11"/>
        <v>1595</v>
      </c>
      <c r="I55" s="16">
        <f t="shared" si="11"/>
        <v>3522</v>
      </c>
      <c r="J55" s="16">
        <f t="shared" si="11"/>
        <v>5117</v>
      </c>
    </row>
    <row r="56" spans="1:10" ht="12.75">
      <c r="A56" s="2"/>
      <c r="B56" s="11"/>
      <c r="C56" s="12"/>
      <c r="D56" s="12"/>
      <c r="E56" s="11"/>
      <c r="F56" s="12"/>
      <c r="G56" s="12"/>
      <c r="H56" s="11"/>
      <c r="I56" s="12"/>
      <c r="J56" s="12"/>
    </row>
    <row r="57" spans="1:10" ht="12.75">
      <c r="A57" s="1" t="s">
        <v>47</v>
      </c>
      <c r="B57" s="11"/>
      <c r="C57" s="12"/>
      <c r="D57" s="12"/>
      <c r="E57" s="11"/>
      <c r="F57" s="12"/>
      <c r="G57" s="12"/>
      <c r="H57" s="11"/>
      <c r="I57" s="12"/>
      <c r="J57" s="12"/>
    </row>
    <row r="58" spans="1:10" ht="12.75">
      <c r="A58" s="2" t="s">
        <v>42</v>
      </c>
      <c r="B58" s="11">
        <v>128</v>
      </c>
      <c r="C58" s="12">
        <v>139</v>
      </c>
      <c r="D58" s="12">
        <f>SUM(B58:C58)</f>
        <v>267</v>
      </c>
      <c r="E58" s="11">
        <v>2</v>
      </c>
      <c r="F58" s="12">
        <v>10</v>
      </c>
      <c r="G58" s="12">
        <f>SUM(E58:F58)</f>
        <v>12</v>
      </c>
      <c r="H58" s="11">
        <f aca="true" t="shared" si="12" ref="H58:I61">SUM(B58,E58)</f>
        <v>130</v>
      </c>
      <c r="I58" s="12">
        <f t="shared" si="12"/>
        <v>149</v>
      </c>
      <c r="J58" s="12">
        <f>SUM(H58:I58)</f>
        <v>279</v>
      </c>
    </row>
    <row r="59" spans="1:10" ht="12.75">
      <c r="A59" s="2" t="s">
        <v>8</v>
      </c>
      <c r="B59" s="11">
        <v>169</v>
      </c>
      <c r="C59" s="12">
        <v>200</v>
      </c>
      <c r="D59" s="12">
        <f>SUM(B59:C59)</f>
        <v>369</v>
      </c>
      <c r="E59" s="11">
        <v>2</v>
      </c>
      <c r="F59" s="12">
        <v>14</v>
      </c>
      <c r="G59" s="12">
        <f>SUM(E59:F59)</f>
        <v>16</v>
      </c>
      <c r="H59" s="11">
        <f t="shared" si="12"/>
        <v>171</v>
      </c>
      <c r="I59" s="12">
        <f t="shared" si="12"/>
        <v>214</v>
      </c>
      <c r="J59" s="12">
        <f>SUM(H59:I59)</f>
        <v>385</v>
      </c>
    </row>
    <row r="60" spans="1:10" ht="12.75">
      <c r="A60" s="2" t="s">
        <v>9</v>
      </c>
      <c r="B60" s="11">
        <v>37</v>
      </c>
      <c r="C60" s="12">
        <v>49</v>
      </c>
      <c r="D60" s="12">
        <f>SUM(B60:C60)</f>
        <v>86</v>
      </c>
      <c r="E60" s="11">
        <v>1</v>
      </c>
      <c r="F60" s="12">
        <v>4</v>
      </c>
      <c r="G60" s="12">
        <f>SUM(E60:F60)</f>
        <v>5</v>
      </c>
      <c r="H60" s="11">
        <f t="shared" si="12"/>
        <v>38</v>
      </c>
      <c r="I60" s="12">
        <f t="shared" si="12"/>
        <v>53</v>
      </c>
      <c r="J60" s="12">
        <f>SUM(H60:I60)</f>
        <v>91</v>
      </c>
    </row>
    <row r="61" spans="1:10" ht="12.75">
      <c r="A61" s="2" t="s">
        <v>10</v>
      </c>
      <c r="B61" s="11">
        <v>24</v>
      </c>
      <c r="C61" s="12">
        <v>32</v>
      </c>
      <c r="D61" s="12">
        <f>SUM(B61:C61)</f>
        <v>56</v>
      </c>
      <c r="E61" s="11">
        <v>0</v>
      </c>
      <c r="F61" s="12">
        <v>10</v>
      </c>
      <c r="G61" s="12">
        <f>SUM(E61:F61)</f>
        <v>10</v>
      </c>
      <c r="H61" s="11">
        <f t="shared" si="12"/>
        <v>24</v>
      </c>
      <c r="I61" s="12">
        <f t="shared" si="12"/>
        <v>42</v>
      </c>
      <c r="J61" s="12">
        <f>SUM(H61:I61)</f>
        <v>66</v>
      </c>
    </row>
    <row r="62" spans="1:10" s="17" customFormat="1" ht="12.75">
      <c r="A62" s="19" t="s">
        <v>4</v>
      </c>
      <c r="B62" s="15">
        <f aca="true" t="shared" si="13" ref="B62:J62">SUM(B58:B61)</f>
        <v>358</v>
      </c>
      <c r="C62" s="16">
        <f t="shared" si="13"/>
        <v>420</v>
      </c>
      <c r="D62" s="16">
        <f t="shared" si="13"/>
        <v>778</v>
      </c>
      <c r="E62" s="15">
        <f t="shared" si="13"/>
        <v>5</v>
      </c>
      <c r="F62" s="16">
        <f t="shared" si="13"/>
        <v>38</v>
      </c>
      <c r="G62" s="16">
        <f t="shared" si="13"/>
        <v>43</v>
      </c>
      <c r="H62" s="15">
        <f t="shared" si="13"/>
        <v>363</v>
      </c>
      <c r="I62" s="16">
        <f t="shared" si="13"/>
        <v>458</v>
      </c>
      <c r="J62" s="16">
        <f t="shared" si="13"/>
        <v>821</v>
      </c>
    </row>
    <row r="63" spans="1:10" ht="12.75">
      <c r="A63" s="2"/>
      <c r="B63" s="11"/>
      <c r="C63" s="12"/>
      <c r="D63" s="12"/>
      <c r="E63" s="11"/>
      <c r="F63" s="12"/>
      <c r="G63" s="12"/>
      <c r="H63" s="11"/>
      <c r="I63" s="12"/>
      <c r="J63" s="12"/>
    </row>
    <row r="64" spans="1:10" ht="12.75">
      <c r="A64" s="1" t="s">
        <v>15</v>
      </c>
      <c r="B64" s="11"/>
      <c r="C64" s="12"/>
      <c r="D64" s="12"/>
      <c r="E64" s="11"/>
      <c r="F64" s="12"/>
      <c r="G64" s="12"/>
      <c r="H64" s="11"/>
      <c r="I64" s="12"/>
      <c r="J64" s="12"/>
    </row>
    <row r="65" spans="1:10" ht="12.75">
      <c r="A65" s="2" t="s">
        <v>42</v>
      </c>
      <c r="B65" s="11">
        <v>154</v>
      </c>
      <c r="C65" s="12">
        <v>192</v>
      </c>
      <c r="D65" s="12">
        <f>SUM(B65:C65)</f>
        <v>346</v>
      </c>
      <c r="E65" s="11">
        <v>12</v>
      </c>
      <c r="F65" s="12">
        <v>12</v>
      </c>
      <c r="G65" s="12">
        <f>SUM(E65:F65)</f>
        <v>24</v>
      </c>
      <c r="H65" s="11">
        <f aca="true" t="shared" si="14" ref="H65:I68">SUM(B65,E65)</f>
        <v>166</v>
      </c>
      <c r="I65" s="12">
        <f t="shared" si="14"/>
        <v>204</v>
      </c>
      <c r="J65" s="12">
        <f>SUM(H65:I65)</f>
        <v>370</v>
      </c>
    </row>
    <row r="66" spans="1:10" ht="12.75">
      <c r="A66" s="2" t="s">
        <v>8</v>
      </c>
      <c r="B66" s="11">
        <v>16</v>
      </c>
      <c r="C66" s="12">
        <v>22</v>
      </c>
      <c r="D66" s="12">
        <f>SUM(B66:C66)</f>
        <v>38</v>
      </c>
      <c r="E66" s="11">
        <v>1</v>
      </c>
      <c r="F66" s="12">
        <v>2</v>
      </c>
      <c r="G66" s="12">
        <f>SUM(E66:F66)</f>
        <v>3</v>
      </c>
      <c r="H66" s="11">
        <f t="shared" si="14"/>
        <v>17</v>
      </c>
      <c r="I66" s="12">
        <f t="shared" si="14"/>
        <v>24</v>
      </c>
      <c r="J66" s="12">
        <f>SUM(H66:I66)</f>
        <v>41</v>
      </c>
    </row>
    <row r="67" spans="1:10" ht="12.75">
      <c r="A67" s="2" t="s">
        <v>9</v>
      </c>
      <c r="B67" s="11">
        <v>0</v>
      </c>
      <c r="C67" s="12">
        <v>0</v>
      </c>
      <c r="D67" s="12">
        <f>SUM(B67:C67)</f>
        <v>0</v>
      </c>
      <c r="E67" s="11">
        <v>0</v>
      </c>
      <c r="F67" s="12">
        <v>0</v>
      </c>
      <c r="G67" s="12">
        <f>SUM(E67:F67)</f>
        <v>0</v>
      </c>
      <c r="H67" s="11">
        <f t="shared" si="14"/>
        <v>0</v>
      </c>
      <c r="I67" s="12">
        <f t="shared" si="14"/>
        <v>0</v>
      </c>
      <c r="J67" s="12">
        <f>SUM(H67:I67)</f>
        <v>0</v>
      </c>
    </row>
    <row r="68" spans="1:10" ht="12.75">
      <c r="A68" s="22" t="s">
        <v>10</v>
      </c>
      <c r="B68" s="11">
        <v>1570</v>
      </c>
      <c r="C68" s="25">
        <v>2131</v>
      </c>
      <c r="D68" s="25">
        <f>SUM(B68:C68)</f>
        <v>3701</v>
      </c>
      <c r="E68" s="11">
        <v>42</v>
      </c>
      <c r="F68" s="25">
        <v>151</v>
      </c>
      <c r="G68" s="25">
        <f>SUM(E68:F68)</f>
        <v>193</v>
      </c>
      <c r="H68" s="11">
        <f t="shared" si="14"/>
        <v>1612</v>
      </c>
      <c r="I68" s="25">
        <f t="shared" si="14"/>
        <v>2282</v>
      </c>
      <c r="J68" s="25">
        <f>SUM(H68:I68)</f>
        <v>3894</v>
      </c>
    </row>
    <row r="69" spans="1:10" s="17" customFormat="1" ht="12.75">
      <c r="A69" s="19" t="s">
        <v>4</v>
      </c>
      <c r="B69" s="15">
        <f aca="true" t="shared" si="15" ref="B69:J69">SUM(B65:B68)</f>
        <v>1740</v>
      </c>
      <c r="C69" s="16">
        <f t="shared" si="15"/>
        <v>2345</v>
      </c>
      <c r="D69" s="16">
        <f t="shared" si="15"/>
        <v>4085</v>
      </c>
      <c r="E69" s="15">
        <f t="shared" si="15"/>
        <v>55</v>
      </c>
      <c r="F69" s="16">
        <f t="shared" si="15"/>
        <v>165</v>
      </c>
      <c r="G69" s="16">
        <f t="shared" si="15"/>
        <v>220</v>
      </c>
      <c r="H69" s="15">
        <f t="shared" si="15"/>
        <v>1795</v>
      </c>
      <c r="I69" s="16">
        <f t="shared" si="15"/>
        <v>2510</v>
      </c>
      <c r="J69" s="16">
        <f t="shared" si="15"/>
        <v>4305</v>
      </c>
    </row>
    <row r="70" spans="1:10" ht="12.75">
      <c r="A70" s="2"/>
      <c r="B70" s="11"/>
      <c r="C70" s="12"/>
      <c r="D70" s="12"/>
      <c r="E70" s="11"/>
      <c r="F70" s="12"/>
      <c r="G70" s="12"/>
      <c r="H70" s="11"/>
      <c r="I70" s="12"/>
      <c r="J70" s="12"/>
    </row>
    <row r="71" spans="1:10" ht="12.75">
      <c r="A71" s="1" t="s">
        <v>41</v>
      </c>
      <c r="B71" s="11"/>
      <c r="C71" s="12"/>
      <c r="D71" s="12"/>
      <c r="E71" s="11"/>
      <c r="F71" s="12"/>
      <c r="G71" s="12"/>
      <c r="H71" s="11"/>
      <c r="I71" s="12"/>
      <c r="J71" s="12"/>
    </row>
    <row r="72" spans="1:12" ht="12.75">
      <c r="A72" s="2" t="s">
        <v>42</v>
      </c>
      <c r="B72" s="11">
        <v>0</v>
      </c>
      <c r="C72" s="12">
        <v>0</v>
      </c>
      <c r="D72" s="12">
        <f>SUM(B72:C72)</f>
        <v>0</v>
      </c>
      <c r="E72" s="11">
        <v>445</v>
      </c>
      <c r="F72" s="12">
        <v>1675</v>
      </c>
      <c r="G72" s="12">
        <f>SUM(E72:F72)</f>
        <v>2120</v>
      </c>
      <c r="H72" s="11">
        <f aca="true" t="shared" si="16" ref="H72:I76">SUM(B72,E72)</f>
        <v>445</v>
      </c>
      <c r="I72" s="12">
        <f t="shared" si="16"/>
        <v>1675</v>
      </c>
      <c r="J72" s="12">
        <f>SUM(H72:I72)</f>
        <v>2120</v>
      </c>
      <c r="K72" s="12"/>
      <c r="L72" s="12"/>
    </row>
    <row r="73" spans="1:12" ht="12.75">
      <c r="A73" s="2" t="s">
        <v>8</v>
      </c>
      <c r="B73" s="11">
        <v>0</v>
      </c>
      <c r="C73" s="12">
        <v>0</v>
      </c>
      <c r="D73" s="12">
        <f>SUM(B73:C73)</f>
        <v>0</v>
      </c>
      <c r="E73" s="11">
        <v>470</v>
      </c>
      <c r="F73" s="12">
        <v>1924</v>
      </c>
      <c r="G73" s="12">
        <f>SUM(E73:F73)</f>
        <v>2394</v>
      </c>
      <c r="H73" s="11">
        <f t="shared" si="16"/>
        <v>470</v>
      </c>
      <c r="I73" s="12">
        <f t="shared" si="16"/>
        <v>1924</v>
      </c>
      <c r="J73" s="12">
        <f>SUM(H73:I73)</f>
        <v>2394</v>
      </c>
      <c r="K73" s="12"/>
      <c r="L73" s="12"/>
    </row>
    <row r="74" spans="1:12" ht="12.75">
      <c r="A74" s="2" t="s">
        <v>9</v>
      </c>
      <c r="B74" s="11">
        <v>0</v>
      </c>
      <c r="C74" s="12">
        <v>0</v>
      </c>
      <c r="D74" s="12">
        <f>SUM(B74:C74)</f>
        <v>0</v>
      </c>
      <c r="E74" s="11">
        <v>14</v>
      </c>
      <c r="F74" s="12">
        <v>53</v>
      </c>
      <c r="G74" s="12">
        <f>SUM(E74:F74)</f>
        <v>67</v>
      </c>
      <c r="H74" s="11">
        <f t="shared" si="16"/>
        <v>14</v>
      </c>
      <c r="I74" s="12">
        <f t="shared" si="16"/>
        <v>53</v>
      </c>
      <c r="J74" s="12">
        <f>SUM(H74:I74)</f>
        <v>67</v>
      </c>
      <c r="K74" s="12"/>
      <c r="L74" s="12"/>
    </row>
    <row r="75" spans="1:10" ht="12.75">
      <c r="A75" s="22" t="s">
        <v>10</v>
      </c>
      <c r="B75" s="11">
        <v>0</v>
      </c>
      <c r="C75" s="25">
        <v>0</v>
      </c>
      <c r="D75" s="25">
        <f>SUM(B75:C75)</f>
        <v>0</v>
      </c>
      <c r="E75" s="11">
        <v>62</v>
      </c>
      <c r="F75" s="25">
        <v>196</v>
      </c>
      <c r="G75" s="25">
        <f>SUM(E75:F75)</f>
        <v>258</v>
      </c>
      <c r="H75" s="11">
        <f t="shared" si="16"/>
        <v>62</v>
      </c>
      <c r="I75" s="25">
        <f t="shared" si="16"/>
        <v>196</v>
      </c>
      <c r="J75" s="25">
        <f>SUM(H75:I75)</f>
        <v>258</v>
      </c>
    </row>
    <row r="76" spans="1:10" ht="12.75">
      <c r="A76" s="22" t="s">
        <v>16</v>
      </c>
      <c r="B76" s="11">
        <v>0</v>
      </c>
      <c r="C76" s="25">
        <v>0</v>
      </c>
      <c r="D76" s="25">
        <f>SUM(B76:C76)</f>
        <v>0</v>
      </c>
      <c r="E76" s="11">
        <v>157</v>
      </c>
      <c r="F76" s="25">
        <v>157</v>
      </c>
      <c r="G76" s="25">
        <f>SUM(E76:F76)</f>
        <v>314</v>
      </c>
      <c r="H76" s="11">
        <f t="shared" si="16"/>
        <v>157</v>
      </c>
      <c r="I76" s="25">
        <f t="shared" si="16"/>
        <v>157</v>
      </c>
      <c r="J76" s="25">
        <f>SUM(H76:I76)</f>
        <v>314</v>
      </c>
    </row>
    <row r="77" spans="1:10" s="17" customFormat="1" ht="12.75">
      <c r="A77" s="19" t="s">
        <v>4</v>
      </c>
      <c r="B77" s="15">
        <f>SUM(B72:B76)</f>
        <v>0</v>
      </c>
      <c r="C77" s="16">
        <f aca="true" t="shared" si="17" ref="C77:J77">SUM(C72:C76)</f>
        <v>0</v>
      </c>
      <c r="D77" s="16">
        <f t="shared" si="17"/>
        <v>0</v>
      </c>
      <c r="E77" s="15">
        <f t="shared" si="17"/>
        <v>1148</v>
      </c>
      <c r="F77" s="16">
        <f t="shared" si="17"/>
        <v>4005</v>
      </c>
      <c r="G77" s="16">
        <f t="shared" si="17"/>
        <v>5153</v>
      </c>
      <c r="H77" s="15">
        <f t="shared" si="17"/>
        <v>1148</v>
      </c>
      <c r="I77" s="16">
        <f t="shared" si="17"/>
        <v>4005</v>
      </c>
      <c r="J77" s="16">
        <f t="shared" si="17"/>
        <v>5153</v>
      </c>
    </row>
    <row r="78" spans="1:10" s="17" customFormat="1" ht="12.75" customHeight="1">
      <c r="A78" s="19"/>
      <c r="B78" s="20"/>
      <c r="C78" s="21"/>
      <c r="D78" s="21"/>
      <c r="E78" s="20"/>
      <c r="F78" s="21"/>
      <c r="G78" s="21"/>
      <c r="H78" s="20"/>
      <c r="I78" s="21"/>
      <c r="J78" s="21"/>
    </row>
    <row r="79" spans="1:10" ht="27.75" customHeight="1">
      <c r="A79" s="203" t="s">
        <v>128</v>
      </c>
      <c r="B79" s="23">
        <f>SUM(B77,B69,B62,B55,B45,B42,B35,B28,B21,B14,B48)</f>
        <v>38285</v>
      </c>
      <c r="C79" s="24">
        <f aca="true" t="shared" si="18" ref="C79:J79">SUM(C77,C69,C62,C55,C45,C42,C35,C28,C21,C14,C48)</f>
        <v>97477</v>
      </c>
      <c r="D79" s="24">
        <f t="shared" si="18"/>
        <v>135762</v>
      </c>
      <c r="E79" s="23">
        <f t="shared" si="18"/>
        <v>4787</v>
      </c>
      <c r="F79" s="24">
        <f t="shared" si="18"/>
        <v>18191</v>
      </c>
      <c r="G79" s="204">
        <f t="shared" si="18"/>
        <v>22978</v>
      </c>
      <c r="H79" s="23">
        <f t="shared" si="18"/>
        <v>43072</v>
      </c>
      <c r="I79" s="24">
        <f t="shared" si="18"/>
        <v>115668</v>
      </c>
      <c r="J79" s="24">
        <f t="shared" si="18"/>
        <v>158740</v>
      </c>
    </row>
    <row r="80" spans="1:10" ht="12.75">
      <c r="A80" s="22"/>
      <c r="B80" s="25"/>
      <c r="C80" s="25"/>
      <c r="D80" s="25"/>
      <c r="E80" s="25"/>
      <c r="F80" s="25"/>
      <c r="G80" s="25"/>
      <c r="H80" s="25"/>
      <c r="I80" s="25"/>
      <c r="J80" s="25"/>
    </row>
    <row r="81" spans="1:10" ht="12.75">
      <c r="A81" s="184" t="s">
        <v>64</v>
      </c>
      <c r="B81" s="12"/>
      <c r="C81" s="12"/>
      <c r="D81" s="12"/>
      <c r="E81" s="12"/>
      <c r="F81" s="12"/>
      <c r="G81" s="12"/>
      <c r="H81" s="12"/>
      <c r="I81" s="12"/>
      <c r="J81" s="12"/>
    </row>
    <row r="82" spans="1:10" ht="17.25" customHeight="1">
      <c r="A82" s="184" t="s">
        <v>21</v>
      </c>
      <c r="B82" s="12"/>
      <c r="C82" s="12"/>
      <c r="D82" s="12"/>
      <c r="E82" s="12"/>
      <c r="F82" s="12"/>
      <c r="G82" s="12"/>
      <c r="H82" s="12"/>
      <c r="I82" s="12"/>
      <c r="J82" s="12"/>
    </row>
    <row r="83" spans="1:10" s="228" customFormat="1" ht="12.75">
      <c r="A83" s="229"/>
      <c r="B83" s="227"/>
      <c r="C83" s="227"/>
      <c r="D83" s="227"/>
      <c r="E83" s="227"/>
      <c r="F83" s="227"/>
      <c r="G83" s="227"/>
      <c r="H83" s="227"/>
      <c r="I83" s="227"/>
      <c r="J83" s="227"/>
    </row>
    <row r="84" spans="2:10" ht="12.75">
      <c r="B84" s="12"/>
      <c r="C84" s="12"/>
      <c r="D84" s="12"/>
      <c r="E84" s="12"/>
      <c r="F84" s="12"/>
      <c r="G84" s="12"/>
      <c r="H84" s="12"/>
      <c r="I84" s="12"/>
      <c r="J84" s="12"/>
    </row>
    <row r="85" spans="2:10" ht="12.75">
      <c r="B85" s="12"/>
      <c r="C85" s="12"/>
      <c r="D85" s="12"/>
      <c r="E85" s="12"/>
      <c r="F85" s="12"/>
      <c r="G85" s="12"/>
      <c r="H85" s="12"/>
      <c r="I85" s="12"/>
      <c r="J85" s="12"/>
    </row>
    <row r="86" spans="2:10" ht="12.75">
      <c r="B86" s="12"/>
      <c r="C86" s="12"/>
      <c r="D86" s="12"/>
      <c r="E86" s="12"/>
      <c r="F86" s="12"/>
      <c r="G86" s="12"/>
      <c r="H86" s="12"/>
      <c r="I86" s="12"/>
      <c r="J86" s="12"/>
    </row>
    <row r="87" spans="2:10" ht="12.75">
      <c r="B87" s="12"/>
      <c r="C87" s="12"/>
      <c r="D87" s="12"/>
      <c r="E87" s="12"/>
      <c r="F87" s="12"/>
      <c r="G87" s="12"/>
      <c r="H87" s="12"/>
      <c r="I87" s="12"/>
      <c r="J87" s="12"/>
    </row>
    <row r="88" spans="2:10" ht="12.75">
      <c r="B88" s="12"/>
      <c r="C88" s="12"/>
      <c r="D88" s="12"/>
      <c r="E88" s="12"/>
      <c r="F88" s="12"/>
      <c r="G88" s="12"/>
      <c r="H88" s="12"/>
      <c r="I88" s="12"/>
      <c r="J88" s="12"/>
    </row>
    <row r="89" spans="2:10" ht="12.75">
      <c r="B89" s="12"/>
      <c r="C89" s="12"/>
      <c r="D89" s="12"/>
      <c r="E89" s="12"/>
      <c r="F89" s="12"/>
      <c r="G89" s="12"/>
      <c r="H89" s="12"/>
      <c r="I89" s="12"/>
      <c r="J89" s="12"/>
    </row>
    <row r="90" spans="2:10" ht="12.75">
      <c r="B90" s="12"/>
      <c r="C90" s="12"/>
      <c r="D90" s="12"/>
      <c r="E90" s="12"/>
      <c r="F90" s="12"/>
      <c r="G90" s="12"/>
      <c r="H90" s="12"/>
      <c r="I90" s="12"/>
      <c r="J90" s="12"/>
    </row>
    <row r="91" spans="2:10" ht="12.75">
      <c r="B91" s="12"/>
      <c r="C91" s="12"/>
      <c r="D91" s="12"/>
      <c r="E91" s="12"/>
      <c r="F91" s="12"/>
      <c r="G91" s="12"/>
      <c r="H91" s="12"/>
      <c r="I91" s="12"/>
      <c r="J91" s="12"/>
    </row>
    <row r="92" spans="2:10" ht="12.75">
      <c r="B92" s="12"/>
      <c r="C92" s="12"/>
      <c r="D92" s="12"/>
      <c r="E92" s="12"/>
      <c r="F92" s="12"/>
      <c r="G92" s="12"/>
      <c r="H92" s="12"/>
      <c r="I92" s="12"/>
      <c r="J92" s="12"/>
    </row>
    <row r="93" spans="2:10" ht="12.75">
      <c r="B93" s="12"/>
      <c r="C93" s="12"/>
      <c r="D93" s="12"/>
      <c r="E93" s="12"/>
      <c r="F93" s="12"/>
      <c r="G93" s="12"/>
      <c r="H93" s="12"/>
      <c r="I93" s="12"/>
      <c r="J93" s="12"/>
    </row>
    <row r="94" spans="2:10" ht="12.75">
      <c r="B94" s="12"/>
      <c r="C94" s="12"/>
      <c r="D94" s="12"/>
      <c r="E94" s="12"/>
      <c r="F94" s="12"/>
      <c r="G94" s="12"/>
      <c r="H94" s="12"/>
      <c r="I94" s="12"/>
      <c r="J94" s="12"/>
    </row>
    <row r="95" spans="2:10" ht="12.75">
      <c r="B95" s="12"/>
      <c r="C95" s="12"/>
      <c r="D95" s="12"/>
      <c r="E95" s="12"/>
      <c r="F95" s="12"/>
      <c r="G95" s="12"/>
      <c r="H95" s="12"/>
      <c r="I95" s="12"/>
      <c r="J95" s="12"/>
    </row>
    <row r="96" spans="2:10" ht="12.75">
      <c r="B96" s="12"/>
      <c r="C96" s="12"/>
      <c r="D96" s="12"/>
      <c r="E96" s="12"/>
      <c r="F96" s="12"/>
      <c r="G96" s="12"/>
      <c r="H96" s="12"/>
      <c r="I96" s="12"/>
      <c r="J96" s="12"/>
    </row>
    <row r="97" spans="2:10" ht="12.75">
      <c r="B97" s="12"/>
      <c r="C97" s="12"/>
      <c r="D97" s="12"/>
      <c r="E97" s="12"/>
      <c r="F97" s="12"/>
      <c r="G97" s="12"/>
      <c r="H97" s="12"/>
      <c r="I97" s="12"/>
      <c r="J97" s="12"/>
    </row>
    <row r="98" spans="2:10" ht="12.75">
      <c r="B98" s="12"/>
      <c r="C98" s="12"/>
      <c r="D98" s="12"/>
      <c r="E98" s="12"/>
      <c r="F98" s="12"/>
      <c r="G98" s="12"/>
      <c r="H98" s="12"/>
      <c r="I98" s="12"/>
      <c r="J98" s="12"/>
    </row>
    <row r="99" spans="2:10" ht="12.75">
      <c r="B99" s="12"/>
      <c r="C99" s="12"/>
      <c r="D99" s="12"/>
      <c r="E99" s="12"/>
      <c r="F99" s="12"/>
      <c r="G99" s="12"/>
      <c r="H99" s="12"/>
      <c r="I99" s="12"/>
      <c r="J99" s="12"/>
    </row>
    <row r="100" spans="2:10" ht="12.75">
      <c r="B100" s="12"/>
      <c r="C100" s="12"/>
      <c r="D100" s="12"/>
      <c r="E100" s="12"/>
      <c r="F100" s="12"/>
      <c r="G100" s="12"/>
      <c r="H100" s="12"/>
      <c r="I100" s="12"/>
      <c r="J100" s="12"/>
    </row>
    <row r="101" spans="2:10" ht="12.75">
      <c r="B101" s="12"/>
      <c r="C101" s="12"/>
      <c r="D101" s="12"/>
      <c r="E101" s="12"/>
      <c r="F101" s="12"/>
      <c r="G101" s="12"/>
      <c r="H101" s="12"/>
      <c r="I101" s="12"/>
      <c r="J101" s="12"/>
    </row>
    <row r="102" spans="2:10" ht="12.75">
      <c r="B102" s="12"/>
      <c r="C102" s="12"/>
      <c r="D102" s="12"/>
      <c r="E102" s="12"/>
      <c r="F102" s="12"/>
      <c r="G102" s="12"/>
      <c r="H102" s="12"/>
      <c r="I102" s="12"/>
      <c r="J102" s="12"/>
    </row>
    <row r="103" spans="2:10" ht="12.75">
      <c r="B103" s="12"/>
      <c r="C103" s="12"/>
      <c r="D103" s="12"/>
      <c r="E103" s="12"/>
      <c r="F103" s="12"/>
      <c r="G103" s="12"/>
      <c r="H103" s="12"/>
      <c r="I103" s="12"/>
      <c r="J103" s="12"/>
    </row>
    <row r="104" spans="2:10" ht="12.75">
      <c r="B104" s="12"/>
      <c r="C104" s="12"/>
      <c r="D104" s="12"/>
      <c r="E104" s="12"/>
      <c r="F104" s="12"/>
      <c r="G104" s="12"/>
      <c r="H104" s="12"/>
      <c r="I104" s="12"/>
      <c r="J104" s="12"/>
    </row>
    <row r="105" spans="2:10" ht="12.75">
      <c r="B105" s="12"/>
      <c r="C105" s="12"/>
      <c r="D105" s="12"/>
      <c r="E105" s="12"/>
      <c r="F105" s="12"/>
      <c r="G105" s="12"/>
      <c r="H105" s="12"/>
      <c r="I105" s="12"/>
      <c r="J105" s="12"/>
    </row>
    <row r="106" spans="2:10" ht="12.75">
      <c r="B106" s="12"/>
      <c r="C106" s="12"/>
      <c r="D106" s="12"/>
      <c r="E106" s="12"/>
      <c r="F106" s="12"/>
      <c r="G106" s="12"/>
      <c r="H106" s="12"/>
      <c r="I106" s="12"/>
      <c r="J106" s="12"/>
    </row>
    <row r="107" spans="2:10" ht="12.75">
      <c r="B107" s="12"/>
      <c r="C107" s="12"/>
      <c r="D107" s="12"/>
      <c r="E107" s="12"/>
      <c r="F107" s="12"/>
      <c r="G107" s="12"/>
      <c r="H107" s="12"/>
      <c r="I107" s="12"/>
      <c r="J107" s="12"/>
    </row>
    <row r="108" spans="2:10" ht="12.75">
      <c r="B108" s="12"/>
      <c r="C108" s="12"/>
      <c r="D108" s="12"/>
      <c r="E108" s="12"/>
      <c r="F108" s="12"/>
      <c r="G108" s="12"/>
      <c r="H108" s="12"/>
      <c r="I108" s="12"/>
      <c r="J108" s="12"/>
    </row>
    <row r="109" spans="2:10" ht="12.75">
      <c r="B109" s="12"/>
      <c r="C109" s="12"/>
      <c r="D109" s="12"/>
      <c r="E109" s="12"/>
      <c r="F109" s="12"/>
      <c r="G109" s="12"/>
      <c r="H109" s="12"/>
      <c r="I109" s="12"/>
      <c r="J109" s="12"/>
    </row>
    <row r="110" spans="2:10" ht="12.75">
      <c r="B110" s="12"/>
      <c r="C110" s="12"/>
      <c r="D110" s="12"/>
      <c r="E110" s="12"/>
      <c r="F110" s="12"/>
      <c r="G110" s="12"/>
      <c r="H110" s="12"/>
      <c r="I110" s="12"/>
      <c r="J110" s="12"/>
    </row>
  </sheetData>
  <sheetProtection/>
  <mergeCells count="1">
    <mergeCell ref="A2:J2"/>
  </mergeCells>
  <printOptions horizontalCentered="1"/>
  <pageMargins left="0.1968503937007874" right="0.1968503937007874" top="0.5905511811023623" bottom="0.3937007874015748" header="0.5118110236220472" footer="0.5118110236220472"/>
  <pageSetup fitToHeight="1" fitToWidth="1" horizontalDpi="300" verticalDpi="300" orientation="portrait" paperSize="9" scale="73"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66"/>
  <sheetViews>
    <sheetView zoomScalePageLayoutView="0" workbookViewId="0" topLeftCell="A1">
      <selection activeCell="A71" sqref="A71"/>
    </sheetView>
  </sheetViews>
  <sheetFormatPr defaultColWidth="9.28125" defaultRowHeight="12.75"/>
  <cols>
    <col min="1" max="1" width="32.28125" style="27" customWidth="1"/>
    <col min="2" max="9" width="9.7109375" style="27" customWidth="1"/>
    <col min="10" max="16384" width="9.28125" style="27" customWidth="1"/>
  </cols>
  <sheetData>
    <row r="1" ht="12.75">
      <c r="A1" s="26" t="s">
        <v>122</v>
      </c>
    </row>
    <row r="2" spans="1:9" ht="12.75">
      <c r="A2" s="257" t="s">
        <v>17</v>
      </c>
      <c r="B2" s="257"/>
      <c r="C2" s="257"/>
      <c r="D2" s="257"/>
      <c r="E2" s="257"/>
      <c r="F2" s="257"/>
      <c r="G2" s="257"/>
      <c r="H2" s="257"/>
      <c r="I2" s="257"/>
    </row>
    <row r="3" spans="1:6" ht="12.75">
      <c r="A3" s="29"/>
      <c r="B3" s="30"/>
      <c r="C3" s="30"/>
      <c r="D3" s="30"/>
      <c r="E3" s="30"/>
      <c r="F3" s="30"/>
    </row>
    <row r="4" spans="1:9" ht="12.75">
      <c r="A4" s="256" t="s">
        <v>70</v>
      </c>
      <c r="B4" s="256"/>
      <c r="C4" s="256"/>
      <c r="D4" s="256"/>
      <c r="E4" s="256"/>
      <c r="F4" s="256"/>
      <c r="G4" s="256"/>
      <c r="H4" s="256"/>
      <c r="I4" s="256"/>
    </row>
    <row r="5" ht="13.5" thickBot="1">
      <c r="A5" s="28"/>
    </row>
    <row r="6" spans="1:9" ht="12.75">
      <c r="A6" s="31"/>
      <c r="B6" s="32"/>
      <c r="C6" s="32"/>
      <c r="D6" s="32"/>
      <c r="E6" s="32"/>
      <c r="F6" s="32"/>
      <c r="G6" s="32"/>
      <c r="H6" s="32"/>
      <c r="I6" s="32"/>
    </row>
    <row r="7" spans="1:9" s="138" customFormat="1" ht="12.75">
      <c r="A7" s="136"/>
      <c r="B7" s="137" t="s">
        <v>48</v>
      </c>
      <c r="C7" s="137" t="s">
        <v>51</v>
      </c>
      <c r="D7" s="137" t="s">
        <v>67</v>
      </c>
      <c r="E7" s="224" t="s">
        <v>68</v>
      </c>
      <c r="F7" s="224" t="s">
        <v>69</v>
      </c>
      <c r="G7" s="224" t="s">
        <v>80</v>
      </c>
      <c r="H7" s="224" t="s">
        <v>114</v>
      </c>
      <c r="I7" s="224" t="s">
        <v>124</v>
      </c>
    </row>
    <row r="8" spans="1:9" ht="12.75">
      <c r="A8" s="33"/>
      <c r="B8" s="34"/>
      <c r="C8" s="34"/>
      <c r="D8" s="34"/>
      <c r="E8" s="34"/>
      <c r="F8" s="34"/>
      <c r="G8" s="34"/>
      <c r="H8" s="34"/>
      <c r="I8" s="34"/>
    </row>
    <row r="9" spans="1:9" ht="12.75">
      <c r="A9" s="26"/>
      <c r="B9" s="35"/>
      <c r="C9" s="35"/>
      <c r="D9" s="35"/>
      <c r="E9" s="35"/>
      <c r="F9" s="35"/>
      <c r="G9" s="35"/>
      <c r="H9" s="35"/>
      <c r="I9" s="35"/>
    </row>
    <row r="10" spans="1:9" ht="12.75">
      <c r="A10" s="26" t="s">
        <v>7</v>
      </c>
      <c r="B10" s="34"/>
      <c r="C10" s="34"/>
      <c r="D10" s="34"/>
      <c r="E10" s="34"/>
      <c r="F10" s="34"/>
      <c r="G10" s="34"/>
      <c r="H10" s="34"/>
      <c r="I10" s="34"/>
    </row>
    <row r="11" spans="1:9" ht="12.75">
      <c r="A11" s="28" t="s">
        <v>18</v>
      </c>
      <c r="B11" s="36">
        <v>33936</v>
      </c>
      <c r="C11" s="36">
        <v>34239</v>
      </c>
      <c r="D11" s="36">
        <v>34376</v>
      </c>
      <c r="E11" s="36">
        <v>35352</v>
      </c>
      <c r="F11" s="36">
        <v>35704</v>
      </c>
      <c r="G11" s="36">
        <v>36951</v>
      </c>
      <c r="H11" s="36">
        <v>37339</v>
      </c>
      <c r="I11" s="36">
        <v>37835</v>
      </c>
    </row>
    <row r="12" spans="1:9" ht="12.75">
      <c r="A12" s="28" t="s">
        <v>19</v>
      </c>
      <c r="B12" s="36">
        <v>12652</v>
      </c>
      <c r="C12" s="36">
        <v>12567</v>
      </c>
      <c r="D12" s="36">
        <v>12435</v>
      </c>
      <c r="E12" s="36">
        <v>11142</v>
      </c>
      <c r="F12" s="36">
        <v>13429</v>
      </c>
      <c r="G12" s="36">
        <v>12800</v>
      </c>
      <c r="H12" s="36">
        <v>13111</v>
      </c>
      <c r="I12" s="36">
        <v>13411</v>
      </c>
    </row>
    <row r="13" spans="1:9" s="39" customFormat="1" ht="12.75">
      <c r="A13" s="37" t="s">
        <v>4</v>
      </c>
      <c r="B13" s="38">
        <f aca="true" t="shared" si="0" ref="B13:G13">SUM(B11:B12)</f>
        <v>46588</v>
      </c>
      <c r="C13" s="38">
        <f t="shared" si="0"/>
        <v>46806</v>
      </c>
      <c r="D13" s="38">
        <f t="shared" si="0"/>
        <v>46811</v>
      </c>
      <c r="E13" s="38">
        <f t="shared" si="0"/>
        <v>46494</v>
      </c>
      <c r="F13" s="38">
        <f t="shared" si="0"/>
        <v>49133</v>
      </c>
      <c r="G13" s="38">
        <f t="shared" si="0"/>
        <v>49751</v>
      </c>
      <c r="H13" s="38">
        <f>SUM(H11:H12)</f>
        <v>50450</v>
      </c>
      <c r="I13" s="38">
        <f>SUM(I11:I12)</f>
        <v>51246</v>
      </c>
    </row>
    <row r="14" spans="1:9" ht="12.75">
      <c r="A14" s="40"/>
      <c r="B14" s="36"/>
      <c r="C14" s="36"/>
      <c r="D14" s="36"/>
      <c r="E14" s="36"/>
      <c r="F14" s="36"/>
      <c r="G14" s="36"/>
      <c r="H14" s="36"/>
      <c r="I14" s="36"/>
    </row>
    <row r="15" spans="1:9" ht="12.75">
      <c r="A15" s="26" t="s">
        <v>11</v>
      </c>
      <c r="B15" s="36"/>
      <c r="C15" s="36"/>
      <c r="D15" s="36"/>
      <c r="E15" s="36"/>
      <c r="F15" s="36"/>
      <c r="G15" s="36"/>
      <c r="H15" s="36"/>
      <c r="I15" s="36"/>
    </row>
    <row r="16" spans="1:9" ht="12.75">
      <c r="A16" s="28" t="s">
        <v>18</v>
      </c>
      <c r="B16" s="36">
        <v>4226</v>
      </c>
      <c r="C16" s="36">
        <v>4292</v>
      </c>
      <c r="D16" s="36">
        <v>4422</v>
      </c>
      <c r="E16" s="36">
        <v>4644</v>
      </c>
      <c r="F16" s="36">
        <v>4711</v>
      </c>
      <c r="G16" s="36">
        <v>4724</v>
      </c>
      <c r="H16" s="36">
        <v>4711</v>
      </c>
      <c r="I16" s="36">
        <v>4693</v>
      </c>
    </row>
    <row r="17" spans="1:9" ht="12.75">
      <c r="A17" s="28" t="s">
        <v>19</v>
      </c>
      <c r="B17" s="36">
        <v>1669</v>
      </c>
      <c r="C17" s="36">
        <v>1713</v>
      </c>
      <c r="D17" s="36">
        <v>1686</v>
      </c>
      <c r="E17" s="36">
        <v>1473</v>
      </c>
      <c r="F17" s="36">
        <v>1514</v>
      </c>
      <c r="G17" s="36">
        <v>1525</v>
      </c>
      <c r="H17" s="36">
        <v>1538</v>
      </c>
      <c r="I17" s="36">
        <v>1534</v>
      </c>
    </row>
    <row r="18" spans="1:9" s="39" customFormat="1" ht="12.75">
      <c r="A18" s="37" t="s">
        <v>4</v>
      </c>
      <c r="B18" s="38">
        <f aca="true" t="shared" si="1" ref="B18:G18">SUM(B16:B17)</f>
        <v>5895</v>
      </c>
      <c r="C18" s="38">
        <f t="shared" si="1"/>
        <v>6005</v>
      </c>
      <c r="D18" s="38">
        <f t="shared" si="1"/>
        <v>6108</v>
      </c>
      <c r="E18" s="38">
        <f t="shared" si="1"/>
        <v>6117</v>
      </c>
      <c r="F18" s="38">
        <f t="shared" si="1"/>
        <v>6225</v>
      </c>
      <c r="G18" s="38">
        <f t="shared" si="1"/>
        <v>6249</v>
      </c>
      <c r="H18" s="38">
        <f>SUM(H16:H17)</f>
        <v>6249</v>
      </c>
      <c r="I18" s="38">
        <f>SUM(I16:I17)</f>
        <v>6227</v>
      </c>
    </row>
    <row r="19" spans="1:9" ht="12.75">
      <c r="A19" s="28"/>
      <c r="B19" s="36"/>
      <c r="C19" s="36"/>
      <c r="D19" s="36"/>
      <c r="E19" s="36"/>
      <c r="F19" s="36"/>
      <c r="G19" s="36"/>
      <c r="H19" s="36"/>
      <c r="I19" s="36"/>
    </row>
    <row r="20" spans="1:9" ht="12.75">
      <c r="A20" s="26" t="s">
        <v>12</v>
      </c>
      <c r="B20" s="36"/>
      <c r="C20" s="36"/>
      <c r="D20" s="36"/>
      <c r="E20" s="36"/>
      <c r="F20" s="36"/>
      <c r="G20" s="36"/>
      <c r="H20" s="36"/>
      <c r="I20" s="36"/>
    </row>
    <row r="21" spans="1:9" ht="12.75">
      <c r="A21" s="28" t="s">
        <v>18</v>
      </c>
      <c r="B21" s="36">
        <v>41766</v>
      </c>
      <c r="C21" s="36">
        <v>41614</v>
      </c>
      <c r="D21" s="36">
        <v>41638</v>
      </c>
      <c r="E21" s="36">
        <v>42782</v>
      </c>
      <c r="F21" s="36">
        <v>42150</v>
      </c>
      <c r="G21" s="36">
        <v>41545</v>
      </c>
      <c r="H21" s="36">
        <v>40983</v>
      </c>
      <c r="I21" s="36">
        <v>41092</v>
      </c>
    </row>
    <row r="22" spans="1:9" ht="12.75">
      <c r="A22" s="28" t="s">
        <v>19</v>
      </c>
      <c r="B22" s="36">
        <v>15429</v>
      </c>
      <c r="C22" s="36">
        <f>15208-237</f>
        <v>14971</v>
      </c>
      <c r="D22" s="36">
        <v>14144</v>
      </c>
      <c r="E22" s="36">
        <v>12241</v>
      </c>
      <c r="F22" s="36">
        <v>12410</v>
      </c>
      <c r="G22" s="36">
        <v>12546</v>
      </c>
      <c r="H22" s="36">
        <v>12716</v>
      </c>
      <c r="I22" s="36">
        <v>12549</v>
      </c>
    </row>
    <row r="23" spans="1:9" s="39" customFormat="1" ht="12.75">
      <c r="A23" s="37" t="s">
        <v>4</v>
      </c>
      <c r="B23" s="38">
        <f aca="true" t="shared" si="2" ref="B23:G23">SUM(B21:B22)</f>
        <v>57195</v>
      </c>
      <c r="C23" s="38">
        <f t="shared" si="2"/>
        <v>56585</v>
      </c>
      <c r="D23" s="38">
        <f t="shared" si="2"/>
        <v>55782</v>
      </c>
      <c r="E23" s="38">
        <f t="shared" si="2"/>
        <v>55023</v>
      </c>
      <c r="F23" s="38">
        <f t="shared" si="2"/>
        <v>54560</v>
      </c>
      <c r="G23" s="38">
        <f t="shared" si="2"/>
        <v>54091</v>
      </c>
      <c r="H23" s="38">
        <f>SUM(H21:H22)</f>
        <v>53699</v>
      </c>
      <c r="I23" s="38">
        <f>SUM(I21:I22)</f>
        <v>53641</v>
      </c>
    </row>
    <row r="24" spans="1:9" ht="12.75">
      <c r="A24" s="40"/>
      <c r="B24" s="36"/>
      <c r="C24" s="36"/>
      <c r="D24" s="36"/>
      <c r="E24" s="36"/>
      <c r="F24" s="36"/>
      <c r="G24" s="36"/>
      <c r="H24" s="36"/>
      <c r="I24" s="36"/>
    </row>
    <row r="25" spans="1:9" ht="12.75">
      <c r="A25" s="26" t="s">
        <v>13</v>
      </c>
      <c r="B25" s="36"/>
      <c r="C25" s="36"/>
      <c r="D25" s="36"/>
      <c r="E25" s="36"/>
      <c r="F25" s="36"/>
      <c r="G25" s="36"/>
      <c r="H25" s="36"/>
      <c r="I25" s="36"/>
    </row>
    <row r="26" spans="1:9" ht="12.75">
      <c r="A26" s="28" t="s">
        <v>18</v>
      </c>
      <c r="B26" s="36">
        <v>3981</v>
      </c>
      <c r="C26" s="36">
        <v>4112</v>
      </c>
      <c r="D26" s="36">
        <v>4256</v>
      </c>
      <c r="E26" s="36">
        <v>2322</v>
      </c>
      <c r="F26" s="36">
        <v>4656</v>
      </c>
      <c r="G26" s="36">
        <v>4815</v>
      </c>
      <c r="H26" s="36">
        <v>4903</v>
      </c>
      <c r="I26" s="36">
        <v>5018</v>
      </c>
    </row>
    <row r="27" spans="1:9" ht="12.75">
      <c r="A27" s="28" t="s">
        <v>19</v>
      </c>
      <c r="B27" s="36">
        <v>1715</v>
      </c>
      <c r="C27" s="36">
        <v>1809</v>
      </c>
      <c r="D27" s="36">
        <v>1891</v>
      </c>
      <c r="E27" s="36">
        <v>3979</v>
      </c>
      <c r="F27" s="36">
        <v>1850</v>
      </c>
      <c r="G27" s="36">
        <v>1902</v>
      </c>
      <c r="H27" s="36">
        <v>1920</v>
      </c>
      <c r="I27" s="36">
        <v>1912</v>
      </c>
    </row>
    <row r="28" spans="1:9" s="39" customFormat="1" ht="12.75">
      <c r="A28" s="37" t="s">
        <v>4</v>
      </c>
      <c r="B28" s="38">
        <f aca="true" t="shared" si="3" ref="B28:G28">SUM(B26:B27)</f>
        <v>5696</v>
      </c>
      <c r="C28" s="38">
        <f t="shared" si="3"/>
        <v>5921</v>
      </c>
      <c r="D28" s="38">
        <f t="shared" si="3"/>
        <v>6147</v>
      </c>
      <c r="E28" s="38">
        <f t="shared" si="3"/>
        <v>6301</v>
      </c>
      <c r="F28" s="38">
        <f t="shared" si="3"/>
        <v>6506</v>
      </c>
      <c r="G28" s="38">
        <f t="shared" si="3"/>
        <v>6717</v>
      </c>
      <c r="H28" s="38">
        <f>SUM(H26:H27)</f>
        <v>6823</v>
      </c>
      <c r="I28" s="38">
        <f>SUM(I26:I27)</f>
        <v>6930</v>
      </c>
    </row>
    <row r="29" spans="1:9" s="39" customFormat="1" ht="12.75">
      <c r="A29" s="37"/>
      <c r="B29" s="41"/>
      <c r="C29" s="41"/>
      <c r="D29" s="41"/>
      <c r="E29" s="41"/>
      <c r="F29" s="41"/>
      <c r="G29" s="41"/>
      <c r="H29" s="41"/>
      <c r="I29" s="41"/>
    </row>
    <row r="30" spans="1:9" s="39" customFormat="1" ht="12.75">
      <c r="A30" s="26" t="s">
        <v>75</v>
      </c>
      <c r="B30" s="41"/>
      <c r="C30" s="41"/>
      <c r="D30" s="41"/>
      <c r="E30" s="41"/>
      <c r="F30" s="41"/>
      <c r="G30" s="41"/>
      <c r="H30" s="41"/>
      <c r="I30" s="41"/>
    </row>
    <row r="31" spans="1:9" s="39" customFormat="1" ht="12.75">
      <c r="A31" s="28" t="s">
        <v>18</v>
      </c>
      <c r="B31" s="41"/>
      <c r="C31" s="36">
        <v>568</v>
      </c>
      <c r="D31" s="36">
        <v>608</v>
      </c>
      <c r="E31" s="36">
        <v>669</v>
      </c>
      <c r="F31" s="36">
        <v>694</v>
      </c>
      <c r="G31" s="36">
        <v>767</v>
      </c>
      <c r="H31" s="36">
        <v>855</v>
      </c>
      <c r="I31" s="36">
        <v>903</v>
      </c>
    </row>
    <row r="32" spans="1:9" s="39" customFormat="1" ht="12.75">
      <c r="A32" s="28" t="s">
        <v>19</v>
      </c>
      <c r="B32" s="41"/>
      <c r="C32" s="36">
        <f>6+26+24+158+2+16+0+5</f>
        <v>237</v>
      </c>
      <c r="D32" s="36">
        <v>284</v>
      </c>
      <c r="E32" s="36">
        <v>290</v>
      </c>
      <c r="F32" s="36">
        <v>335</v>
      </c>
      <c r="G32" s="36">
        <v>356</v>
      </c>
      <c r="H32" s="36">
        <v>357</v>
      </c>
      <c r="I32" s="36">
        <v>339</v>
      </c>
    </row>
    <row r="33" spans="1:9" s="39" customFormat="1" ht="12.75">
      <c r="A33" s="37" t="s">
        <v>4</v>
      </c>
      <c r="B33" s="211"/>
      <c r="C33" s="38">
        <f aca="true" t="shared" si="4" ref="C33:H33">SUM(C31:C32)</f>
        <v>805</v>
      </c>
      <c r="D33" s="38">
        <f t="shared" si="4"/>
        <v>892</v>
      </c>
      <c r="E33" s="38">
        <f t="shared" si="4"/>
        <v>959</v>
      </c>
      <c r="F33" s="38">
        <f t="shared" si="4"/>
        <v>1029</v>
      </c>
      <c r="G33" s="38">
        <f t="shared" si="4"/>
        <v>1123</v>
      </c>
      <c r="H33" s="38">
        <f t="shared" si="4"/>
        <v>1212</v>
      </c>
      <c r="I33" s="38">
        <f>SUM(I31:I32)</f>
        <v>1242</v>
      </c>
    </row>
    <row r="34" spans="1:9" ht="12.75">
      <c r="A34" s="28"/>
      <c r="B34" s="36"/>
      <c r="C34" s="36"/>
      <c r="D34" s="36"/>
      <c r="E34" s="36"/>
      <c r="F34" s="36"/>
      <c r="G34" s="36"/>
      <c r="H34" s="36"/>
      <c r="I34" s="36"/>
    </row>
    <row r="35" spans="1:9" ht="12.75">
      <c r="A35" s="26" t="s">
        <v>14</v>
      </c>
      <c r="B35" s="36"/>
      <c r="C35" s="36"/>
      <c r="D35" s="36"/>
      <c r="E35" s="36"/>
      <c r="F35" s="36"/>
      <c r="G35" s="36"/>
      <c r="H35" s="36"/>
      <c r="I35" s="36"/>
    </row>
    <row r="36" spans="1:9" ht="12.75">
      <c r="A36" s="28" t="s">
        <v>18</v>
      </c>
      <c r="B36" s="36">
        <v>4674</v>
      </c>
      <c r="C36" s="36">
        <v>4749</v>
      </c>
      <c r="D36" s="36">
        <v>4756</v>
      </c>
      <c r="E36" s="36">
        <v>4681</v>
      </c>
      <c r="F36" s="36">
        <v>4662</v>
      </c>
      <c r="G36" s="36">
        <v>4069</v>
      </c>
      <c r="H36" s="36">
        <v>3838</v>
      </c>
      <c r="I36" s="36">
        <v>3884</v>
      </c>
    </row>
    <row r="37" spans="1:9" ht="12.75">
      <c r="A37" s="28" t="s">
        <v>19</v>
      </c>
      <c r="B37" s="36">
        <v>3137</v>
      </c>
      <c r="C37" s="36">
        <v>3159</v>
      </c>
      <c r="D37" s="36">
        <v>3056</v>
      </c>
      <c r="E37" s="36">
        <v>3009</v>
      </c>
      <c r="F37" s="36">
        <v>3026</v>
      </c>
      <c r="G37" s="36">
        <v>2527</v>
      </c>
      <c r="H37" s="36">
        <v>2479</v>
      </c>
      <c r="I37" s="36">
        <v>2418</v>
      </c>
    </row>
    <row r="38" spans="1:9" s="39" customFormat="1" ht="12.75">
      <c r="A38" s="37" t="s">
        <v>4</v>
      </c>
      <c r="B38" s="38">
        <f aca="true" t="shared" si="5" ref="B38:G38">SUM(B36:B37)</f>
        <v>7811</v>
      </c>
      <c r="C38" s="38">
        <f t="shared" si="5"/>
        <v>7908</v>
      </c>
      <c r="D38" s="38">
        <f t="shared" si="5"/>
        <v>7812</v>
      </c>
      <c r="E38" s="38">
        <f t="shared" si="5"/>
        <v>7690</v>
      </c>
      <c r="F38" s="38">
        <f t="shared" si="5"/>
        <v>7688</v>
      </c>
      <c r="G38" s="38">
        <f t="shared" si="5"/>
        <v>6596</v>
      </c>
      <c r="H38" s="38">
        <f>SUM(H36:H37)</f>
        <v>6317</v>
      </c>
      <c r="I38" s="38">
        <f>SUM(I36:I37)</f>
        <v>6302</v>
      </c>
    </row>
    <row r="39" spans="1:9" s="39" customFormat="1" ht="12.75">
      <c r="A39" s="37"/>
      <c r="B39" s="41"/>
      <c r="C39" s="41"/>
      <c r="D39" s="41"/>
      <c r="E39" s="41"/>
      <c r="F39" s="41"/>
      <c r="G39" s="41"/>
      <c r="H39" s="41"/>
      <c r="I39" s="41"/>
    </row>
    <row r="40" spans="1:9" s="39" customFormat="1" ht="12.75">
      <c r="A40" s="205" t="s">
        <v>50</v>
      </c>
      <c r="B40" s="41"/>
      <c r="C40" s="41"/>
      <c r="D40" s="41"/>
      <c r="E40" s="41"/>
      <c r="F40" s="41"/>
      <c r="G40" s="41"/>
      <c r="H40" s="41"/>
      <c r="I40" s="41"/>
    </row>
    <row r="41" spans="1:9" s="39" customFormat="1" ht="12.75">
      <c r="A41" s="28" t="s">
        <v>18</v>
      </c>
      <c r="B41" s="41">
        <v>0</v>
      </c>
      <c r="C41" s="41">
        <v>0</v>
      </c>
      <c r="D41" s="41">
        <v>0</v>
      </c>
      <c r="E41" s="41">
        <v>0</v>
      </c>
      <c r="F41" s="41">
        <v>0</v>
      </c>
      <c r="G41" s="41">
        <v>0</v>
      </c>
      <c r="H41" s="41">
        <v>0</v>
      </c>
      <c r="I41" s="41">
        <v>0</v>
      </c>
    </row>
    <row r="42" spans="1:9" s="39" customFormat="1" ht="12.75">
      <c r="A42" s="28" t="s">
        <v>19</v>
      </c>
      <c r="B42" s="36">
        <v>564</v>
      </c>
      <c r="C42" s="36">
        <v>586</v>
      </c>
      <c r="D42" s="36">
        <v>595</v>
      </c>
      <c r="E42" s="36">
        <v>616</v>
      </c>
      <c r="F42" s="36">
        <v>632</v>
      </c>
      <c r="G42" s="36">
        <v>644</v>
      </c>
      <c r="H42" s="36">
        <v>742</v>
      </c>
      <c r="I42" s="36">
        <v>816</v>
      </c>
    </row>
    <row r="43" spans="1:9" s="39" customFormat="1" ht="12.75">
      <c r="A43" s="37" t="s">
        <v>4</v>
      </c>
      <c r="B43" s="38">
        <f aca="true" t="shared" si="6" ref="B43:G43">B41+B42</f>
        <v>564</v>
      </c>
      <c r="C43" s="38">
        <f t="shared" si="6"/>
        <v>586</v>
      </c>
      <c r="D43" s="38">
        <f t="shared" si="6"/>
        <v>595</v>
      </c>
      <c r="E43" s="38">
        <f t="shared" si="6"/>
        <v>616</v>
      </c>
      <c r="F43" s="38">
        <f t="shared" si="6"/>
        <v>632</v>
      </c>
      <c r="G43" s="38">
        <f t="shared" si="6"/>
        <v>644</v>
      </c>
      <c r="H43" s="38">
        <f>H41+H42</f>
        <v>742</v>
      </c>
      <c r="I43" s="38">
        <f>I41+I42</f>
        <v>816</v>
      </c>
    </row>
    <row r="44" spans="1:9" ht="12.75">
      <c r="A44" s="28"/>
      <c r="B44" s="36"/>
      <c r="C44" s="36"/>
      <c r="D44" s="36"/>
      <c r="E44" s="36"/>
      <c r="F44" s="36"/>
      <c r="G44" s="36"/>
      <c r="H44" s="36"/>
      <c r="I44" s="36"/>
    </row>
    <row r="45" spans="1:9" ht="12.75">
      <c r="A45" s="1" t="s">
        <v>46</v>
      </c>
      <c r="B45" s="36"/>
      <c r="C45" s="36"/>
      <c r="D45" s="36"/>
      <c r="E45" s="36"/>
      <c r="F45" s="36"/>
      <c r="G45" s="36"/>
      <c r="H45" s="36"/>
      <c r="I45" s="36"/>
    </row>
    <row r="46" spans="1:9" ht="12.75">
      <c r="A46" s="28" t="s">
        <v>18</v>
      </c>
      <c r="B46" s="36">
        <v>2595</v>
      </c>
      <c r="C46" s="36">
        <v>2689</v>
      </c>
      <c r="D46" s="36">
        <v>2745</v>
      </c>
      <c r="E46" s="36">
        <v>2783</v>
      </c>
      <c r="F46" s="36">
        <v>2848</v>
      </c>
      <c r="G46" s="36">
        <v>2840</v>
      </c>
      <c r="H46" s="36">
        <v>2827</v>
      </c>
      <c r="I46" s="36">
        <v>2810</v>
      </c>
    </row>
    <row r="47" spans="1:9" ht="12.75">
      <c r="A47" s="28" t="s">
        <v>19</v>
      </c>
      <c r="B47" s="36">
        <v>1643</v>
      </c>
      <c r="C47" s="36">
        <v>1597</v>
      </c>
      <c r="D47" s="36">
        <v>1533</v>
      </c>
      <c r="E47" s="36">
        <v>1493</v>
      </c>
      <c r="F47" s="36">
        <v>1495</v>
      </c>
      <c r="G47" s="36">
        <v>1549</v>
      </c>
      <c r="H47" s="36">
        <v>1628</v>
      </c>
      <c r="I47" s="36">
        <v>1685</v>
      </c>
    </row>
    <row r="48" spans="1:9" s="39" customFormat="1" ht="12.75">
      <c r="A48" s="37" t="s">
        <v>4</v>
      </c>
      <c r="B48" s="38">
        <f aca="true" t="shared" si="7" ref="B48:G48">SUM(B46:B47)</f>
        <v>4238</v>
      </c>
      <c r="C48" s="38">
        <f t="shared" si="7"/>
        <v>4286</v>
      </c>
      <c r="D48" s="38">
        <f t="shared" si="7"/>
        <v>4278</v>
      </c>
      <c r="E48" s="38">
        <f t="shared" si="7"/>
        <v>4276</v>
      </c>
      <c r="F48" s="38">
        <f t="shared" si="7"/>
        <v>4343</v>
      </c>
      <c r="G48" s="38">
        <f t="shared" si="7"/>
        <v>4389</v>
      </c>
      <c r="H48" s="38">
        <f>SUM(H46:H47)</f>
        <v>4455</v>
      </c>
      <c r="I48" s="38">
        <f>SUM(I46:I47)</f>
        <v>4495</v>
      </c>
    </row>
    <row r="49" spans="1:9" ht="12.75">
      <c r="A49" s="28"/>
      <c r="B49" s="36"/>
      <c r="C49" s="36"/>
      <c r="D49" s="36"/>
      <c r="E49" s="36"/>
      <c r="F49" s="36"/>
      <c r="G49" s="36"/>
      <c r="H49" s="36"/>
      <c r="I49" s="36"/>
    </row>
    <row r="50" spans="1:9" ht="12.75">
      <c r="A50" s="1" t="s">
        <v>47</v>
      </c>
      <c r="B50" s="36"/>
      <c r="C50" s="36"/>
      <c r="D50" s="36"/>
      <c r="E50" s="36"/>
      <c r="F50" s="36"/>
      <c r="G50" s="36"/>
      <c r="H50" s="36"/>
      <c r="I50" s="36"/>
    </row>
    <row r="51" spans="1:9" ht="12.75">
      <c r="A51" s="28" t="s">
        <v>18</v>
      </c>
      <c r="B51" s="36">
        <v>380</v>
      </c>
      <c r="C51" s="36">
        <v>409</v>
      </c>
      <c r="D51" s="36">
        <v>444</v>
      </c>
      <c r="E51" s="36">
        <v>458</v>
      </c>
      <c r="F51" s="36">
        <v>464</v>
      </c>
      <c r="G51" s="36">
        <v>460</v>
      </c>
      <c r="H51" s="36">
        <v>451</v>
      </c>
      <c r="I51" s="36">
        <v>441</v>
      </c>
    </row>
    <row r="52" spans="1:9" ht="12.75">
      <c r="A52" s="28" t="s">
        <v>19</v>
      </c>
      <c r="B52" s="36">
        <v>333</v>
      </c>
      <c r="C52" s="36">
        <v>333</v>
      </c>
      <c r="D52" s="36">
        <v>314</v>
      </c>
      <c r="E52" s="36">
        <v>306</v>
      </c>
      <c r="F52" s="36">
        <v>279</v>
      </c>
      <c r="G52" s="36">
        <v>285</v>
      </c>
      <c r="H52" s="36">
        <v>318</v>
      </c>
      <c r="I52" s="36">
        <v>337</v>
      </c>
    </row>
    <row r="53" spans="1:9" s="39" customFormat="1" ht="12.75">
      <c r="A53" s="37" t="s">
        <v>4</v>
      </c>
      <c r="B53" s="38">
        <f aca="true" t="shared" si="8" ref="B53:G53">SUM(B51:B52)</f>
        <v>713</v>
      </c>
      <c r="C53" s="38">
        <f t="shared" si="8"/>
        <v>742</v>
      </c>
      <c r="D53" s="38">
        <f t="shared" si="8"/>
        <v>758</v>
      </c>
      <c r="E53" s="38">
        <f t="shared" si="8"/>
        <v>764</v>
      </c>
      <c r="F53" s="38">
        <f t="shared" si="8"/>
        <v>743</v>
      </c>
      <c r="G53" s="38">
        <f t="shared" si="8"/>
        <v>745</v>
      </c>
      <c r="H53" s="38">
        <f>SUM(H51:H52)</f>
        <v>769</v>
      </c>
      <c r="I53" s="38">
        <f>SUM(I51:I52)</f>
        <v>778</v>
      </c>
    </row>
    <row r="54" spans="1:9" s="39" customFormat="1" ht="12.75">
      <c r="A54" s="37"/>
      <c r="B54" s="41"/>
      <c r="C54" s="41"/>
      <c r="D54" s="41"/>
      <c r="E54" s="41"/>
      <c r="F54" s="41"/>
      <c r="G54" s="41"/>
      <c r="H54" s="41"/>
      <c r="I54" s="41"/>
    </row>
    <row r="55" spans="1:9" ht="12.75">
      <c r="A55" s="26" t="s">
        <v>15</v>
      </c>
      <c r="B55" s="36"/>
      <c r="C55" s="36"/>
      <c r="D55" s="36"/>
      <c r="E55" s="36"/>
      <c r="F55" s="36"/>
      <c r="G55" s="36"/>
      <c r="H55" s="36"/>
      <c r="I55" s="36"/>
    </row>
    <row r="56" spans="1:9" ht="12.75">
      <c r="A56" s="28" t="s">
        <v>18</v>
      </c>
      <c r="B56" s="36">
        <v>2913</v>
      </c>
      <c r="C56" s="36">
        <v>2974</v>
      </c>
      <c r="D56" s="36">
        <v>3036</v>
      </c>
      <c r="E56" s="36">
        <v>3121</v>
      </c>
      <c r="F56" s="36">
        <v>3120</v>
      </c>
      <c r="G56" s="36">
        <v>3146</v>
      </c>
      <c r="H56" s="36">
        <v>3149</v>
      </c>
      <c r="I56" s="36">
        <v>3152</v>
      </c>
    </row>
    <row r="57" spans="1:9" ht="12.75">
      <c r="A57" s="28" t="s">
        <v>19</v>
      </c>
      <c r="B57" s="36">
        <v>1011</v>
      </c>
      <c r="C57" s="36">
        <v>1000</v>
      </c>
      <c r="D57" s="36">
        <v>994</v>
      </c>
      <c r="E57" s="36">
        <v>912</v>
      </c>
      <c r="F57" s="36">
        <v>936</v>
      </c>
      <c r="G57" s="36">
        <v>920</v>
      </c>
      <c r="H57" s="36">
        <v>953</v>
      </c>
      <c r="I57" s="36">
        <v>933</v>
      </c>
    </row>
    <row r="58" spans="1:9" s="39" customFormat="1" ht="12.75">
      <c r="A58" s="37" t="s">
        <v>4</v>
      </c>
      <c r="B58" s="38">
        <f aca="true" t="shared" si="9" ref="B58:G58">SUM(B56:B57)</f>
        <v>3924</v>
      </c>
      <c r="C58" s="38">
        <f t="shared" si="9"/>
        <v>3974</v>
      </c>
      <c r="D58" s="38">
        <f t="shared" si="9"/>
        <v>4030</v>
      </c>
      <c r="E58" s="38">
        <f t="shared" si="9"/>
        <v>4033</v>
      </c>
      <c r="F58" s="38">
        <f t="shared" si="9"/>
        <v>4056</v>
      </c>
      <c r="G58" s="38">
        <f t="shared" si="9"/>
        <v>4066</v>
      </c>
      <c r="H58" s="38">
        <f>SUM(H56:H57)</f>
        <v>4102</v>
      </c>
      <c r="I58" s="38">
        <f>SUM(I56:I57)</f>
        <v>4085</v>
      </c>
    </row>
    <row r="59" spans="1:9" ht="12.75">
      <c r="A59" s="169"/>
      <c r="B59" s="170"/>
      <c r="C59" s="170"/>
      <c r="D59" s="170"/>
      <c r="E59" s="170"/>
      <c r="F59" s="170"/>
      <c r="G59" s="170"/>
      <c r="H59" s="170"/>
      <c r="I59" s="170"/>
    </row>
    <row r="60" spans="1:9" ht="12.75">
      <c r="A60" s="42" t="s">
        <v>125</v>
      </c>
      <c r="B60" s="36"/>
      <c r="C60" s="36"/>
      <c r="D60" s="36"/>
      <c r="E60" s="36"/>
      <c r="F60" s="36"/>
      <c r="G60" s="36"/>
      <c r="H60" s="36"/>
      <c r="I60" s="36"/>
    </row>
    <row r="61" spans="1:9" ht="12.75">
      <c r="A61" s="28" t="s">
        <v>18</v>
      </c>
      <c r="B61" s="36">
        <f aca="true" t="shared" si="10" ref="B61:I62">SUM(B11,B16,B21,B26,B31,B36,B46,B51,B56,B41)</f>
        <v>94471</v>
      </c>
      <c r="C61" s="36">
        <f t="shared" si="10"/>
        <v>95646</v>
      </c>
      <c r="D61" s="36">
        <f t="shared" si="10"/>
        <v>96281</v>
      </c>
      <c r="E61" s="36">
        <f t="shared" si="10"/>
        <v>96812</v>
      </c>
      <c r="F61" s="36">
        <f t="shared" si="10"/>
        <v>99009</v>
      </c>
      <c r="G61" s="36">
        <f t="shared" si="10"/>
        <v>99317</v>
      </c>
      <c r="H61" s="36">
        <f t="shared" si="10"/>
        <v>99056</v>
      </c>
      <c r="I61" s="36">
        <f t="shared" si="10"/>
        <v>99828</v>
      </c>
    </row>
    <row r="62" spans="1:9" ht="12.75">
      <c r="A62" s="28" t="s">
        <v>19</v>
      </c>
      <c r="B62" s="36">
        <f t="shared" si="10"/>
        <v>38153</v>
      </c>
      <c r="C62" s="36">
        <f t="shared" si="10"/>
        <v>37972</v>
      </c>
      <c r="D62" s="36">
        <f t="shared" si="10"/>
        <v>36932</v>
      </c>
      <c r="E62" s="36">
        <f t="shared" si="10"/>
        <v>35461</v>
      </c>
      <c r="F62" s="36">
        <f t="shared" si="10"/>
        <v>35906</v>
      </c>
      <c r="G62" s="36">
        <f t="shared" si="10"/>
        <v>35054</v>
      </c>
      <c r="H62" s="36">
        <f t="shared" si="10"/>
        <v>35762</v>
      </c>
      <c r="I62" s="36">
        <f t="shared" si="10"/>
        <v>35934</v>
      </c>
    </row>
    <row r="63" spans="1:9" s="39" customFormat="1" ht="12.75">
      <c r="A63" s="37" t="s">
        <v>4</v>
      </c>
      <c r="B63" s="38">
        <f aca="true" t="shared" si="11" ref="B63:G63">SUM(B61:B62)</f>
        <v>132624</v>
      </c>
      <c r="C63" s="38">
        <f t="shared" si="11"/>
        <v>133618</v>
      </c>
      <c r="D63" s="38">
        <f t="shared" si="11"/>
        <v>133213</v>
      </c>
      <c r="E63" s="38">
        <f t="shared" si="11"/>
        <v>132273</v>
      </c>
      <c r="F63" s="38">
        <f t="shared" si="11"/>
        <v>134915</v>
      </c>
      <c r="G63" s="38">
        <f t="shared" si="11"/>
        <v>134371</v>
      </c>
      <c r="H63" s="38">
        <f>SUM(H61:H62)</f>
        <v>134818</v>
      </c>
      <c r="I63" s="38">
        <f>SUM(I61:I62)</f>
        <v>135762</v>
      </c>
    </row>
    <row r="65" ht="12.75">
      <c r="A65" s="217" t="s">
        <v>64</v>
      </c>
    </row>
    <row r="66" ht="12.75">
      <c r="A66" s="230"/>
    </row>
  </sheetData>
  <sheetProtection/>
  <mergeCells count="2">
    <mergeCell ref="A4:I4"/>
    <mergeCell ref="A2:I2"/>
  </mergeCells>
  <printOptions horizontalCentered="1"/>
  <pageMargins left="0.1968503937007874" right="0.1968503937007874" top="0.5905511811023623" bottom="0.3937007874015748" header="0.5118110236220472" footer="0.5118110236220472"/>
  <pageSetup fitToHeight="1" fitToWidth="1" horizontalDpi="1200" verticalDpi="1200" orientation="portrait" paperSize="9" scale="88"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72"/>
  <sheetViews>
    <sheetView zoomScalePageLayoutView="0" workbookViewId="0" topLeftCell="A1">
      <selection activeCell="A80" sqref="A80"/>
    </sheetView>
  </sheetViews>
  <sheetFormatPr defaultColWidth="9.28125" defaultRowHeight="12.75"/>
  <cols>
    <col min="1" max="1" width="30.28125" style="44" customWidth="1"/>
    <col min="2" max="9" width="9.00390625" style="44" customWidth="1"/>
    <col min="10" max="16384" width="9.28125" style="44" customWidth="1"/>
  </cols>
  <sheetData>
    <row r="1" ht="12.75">
      <c r="A1" s="43" t="s">
        <v>122</v>
      </c>
    </row>
    <row r="2" spans="1:9" ht="12.75">
      <c r="A2" s="258" t="s">
        <v>20</v>
      </c>
      <c r="B2" s="258"/>
      <c r="C2" s="258"/>
      <c r="D2" s="258"/>
      <c r="E2" s="258"/>
      <c r="F2" s="258"/>
      <c r="G2" s="258"/>
      <c r="H2" s="258"/>
      <c r="I2" s="258"/>
    </row>
    <row r="3" spans="1:6" ht="12.75">
      <c r="A3" s="46"/>
      <c r="B3" s="47"/>
      <c r="C3" s="47"/>
      <c r="D3" s="47"/>
      <c r="E3" s="47"/>
      <c r="F3" s="47"/>
    </row>
    <row r="4" spans="1:9" ht="12.75">
      <c r="A4" s="259" t="s">
        <v>70</v>
      </c>
      <c r="B4" s="259"/>
      <c r="C4" s="259"/>
      <c r="D4" s="259"/>
      <c r="E4" s="259"/>
      <c r="F4" s="259"/>
      <c r="G4" s="259"/>
      <c r="H4" s="259"/>
      <c r="I4" s="259"/>
    </row>
    <row r="5" ht="13.5" thickBot="1">
      <c r="A5" s="45"/>
    </row>
    <row r="6" spans="1:9" ht="12.75">
      <c r="A6" s="48"/>
      <c r="B6" s="49"/>
      <c r="C6" s="49"/>
      <c r="D6" s="49"/>
      <c r="E6" s="49"/>
      <c r="F6" s="49"/>
      <c r="G6" s="49"/>
      <c r="H6" s="49"/>
      <c r="I6" s="49"/>
    </row>
    <row r="7" spans="1:9" s="138" customFormat="1" ht="12.75">
      <c r="A7" s="136"/>
      <c r="B7" s="137" t="s">
        <v>48</v>
      </c>
      <c r="C7" s="137" t="s">
        <v>51</v>
      </c>
      <c r="D7" s="137" t="s">
        <v>67</v>
      </c>
      <c r="E7" s="224" t="s">
        <v>68</v>
      </c>
      <c r="F7" s="224" t="s">
        <v>69</v>
      </c>
      <c r="G7" s="224" t="s">
        <v>80</v>
      </c>
      <c r="H7" s="224" t="s">
        <v>114</v>
      </c>
      <c r="I7" s="224" t="s">
        <v>124</v>
      </c>
    </row>
    <row r="8" spans="1:9" ht="12.75">
      <c r="A8" s="50"/>
      <c r="B8" s="51"/>
      <c r="C8" s="51"/>
      <c r="D8" s="51"/>
      <c r="E8" s="51"/>
      <c r="F8" s="51"/>
      <c r="G8" s="51"/>
      <c r="H8" s="51"/>
      <c r="I8" s="51"/>
    </row>
    <row r="9" spans="1:9" ht="12.75">
      <c r="A9" s="43"/>
      <c r="B9" s="52"/>
      <c r="C9" s="52"/>
      <c r="D9" s="52"/>
      <c r="E9" s="52"/>
      <c r="F9" s="52"/>
      <c r="G9" s="52"/>
      <c r="H9" s="52"/>
      <c r="I9" s="52"/>
    </row>
    <row r="10" spans="1:9" ht="12.75">
      <c r="A10" s="43" t="s">
        <v>7</v>
      </c>
      <c r="B10" s="51"/>
      <c r="C10" s="51"/>
      <c r="D10" s="51"/>
      <c r="E10" s="51"/>
      <c r="F10" s="51"/>
      <c r="G10" s="51"/>
      <c r="H10" s="51"/>
      <c r="I10" s="51"/>
    </row>
    <row r="11" spans="1:9" ht="12.75">
      <c r="A11" s="45" t="s">
        <v>18</v>
      </c>
      <c r="B11" s="53">
        <v>2757</v>
      </c>
      <c r="C11" s="53">
        <v>2841</v>
      </c>
      <c r="D11" s="53">
        <v>2908</v>
      </c>
      <c r="E11" s="53">
        <v>3111</v>
      </c>
      <c r="F11" s="53">
        <v>3169</v>
      </c>
      <c r="G11" s="53">
        <v>3220</v>
      </c>
      <c r="H11" s="53">
        <v>3230</v>
      </c>
      <c r="I11" s="53">
        <v>3290</v>
      </c>
    </row>
    <row r="12" spans="1:9" ht="12.75">
      <c r="A12" s="45" t="s">
        <v>19</v>
      </c>
      <c r="B12" s="53">
        <v>1637</v>
      </c>
      <c r="C12" s="53">
        <v>1650</v>
      </c>
      <c r="D12" s="53">
        <v>1634</v>
      </c>
      <c r="E12" s="53">
        <v>1517</v>
      </c>
      <c r="F12" s="53">
        <v>1566</v>
      </c>
      <c r="G12" s="53">
        <v>1575</v>
      </c>
      <c r="H12" s="53">
        <v>1654</v>
      </c>
      <c r="I12" s="53">
        <v>1706</v>
      </c>
    </row>
    <row r="13" spans="1:9" s="56" customFormat="1" ht="12.75">
      <c r="A13" s="54" t="s">
        <v>4</v>
      </c>
      <c r="B13" s="55">
        <f aca="true" t="shared" si="0" ref="B13:G13">SUM(B11:B12)</f>
        <v>4394</v>
      </c>
      <c r="C13" s="55">
        <f t="shared" si="0"/>
        <v>4491</v>
      </c>
      <c r="D13" s="55">
        <f t="shared" si="0"/>
        <v>4542</v>
      </c>
      <c r="E13" s="55">
        <f t="shared" si="0"/>
        <v>4628</v>
      </c>
      <c r="F13" s="55">
        <f t="shared" si="0"/>
        <v>4735</v>
      </c>
      <c r="G13" s="55">
        <f t="shared" si="0"/>
        <v>4795</v>
      </c>
      <c r="H13" s="55">
        <f>SUM(H11:H12)</f>
        <v>4884</v>
      </c>
      <c r="I13" s="55">
        <f>SUM(I11:I12)</f>
        <v>4996</v>
      </c>
    </row>
    <row r="14" spans="1:9" ht="12.75">
      <c r="A14" s="57"/>
      <c r="B14" s="53"/>
      <c r="C14" s="53"/>
      <c r="D14" s="53"/>
      <c r="E14" s="53"/>
      <c r="F14" s="53"/>
      <c r="G14" s="53"/>
      <c r="H14" s="53"/>
      <c r="I14" s="53"/>
    </row>
    <row r="15" spans="1:9" ht="12.75">
      <c r="A15" s="43" t="s">
        <v>11</v>
      </c>
      <c r="B15" s="53"/>
      <c r="C15" s="53"/>
      <c r="D15" s="53"/>
      <c r="E15" s="53"/>
      <c r="F15" s="53"/>
      <c r="G15" s="53"/>
      <c r="H15" s="53"/>
      <c r="I15" s="53"/>
    </row>
    <row r="16" spans="1:9" ht="12.75">
      <c r="A16" s="45" t="s">
        <v>18</v>
      </c>
      <c r="B16" s="53">
        <v>1328</v>
      </c>
      <c r="C16" s="53">
        <v>1361</v>
      </c>
      <c r="D16" s="53">
        <v>1403</v>
      </c>
      <c r="E16" s="53">
        <v>1545</v>
      </c>
      <c r="F16" s="53">
        <v>1570</v>
      </c>
      <c r="G16" s="53">
        <v>1589</v>
      </c>
      <c r="H16" s="53">
        <v>1610</v>
      </c>
      <c r="I16" s="53">
        <v>1642</v>
      </c>
    </row>
    <row r="17" spans="1:9" ht="12.75">
      <c r="A17" s="45" t="s">
        <v>19</v>
      </c>
      <c r="B17" s="53">
        <v>698</v>
      </c>
      <c r="C17" s="53">
        <v>742</v>
      </c>
      <c r="D17" s="53">
        <v>756</v>
      </c>
      <c r="E17" s="53">
        <v>650</v>
      </c>
      <c r="F17" s="53">
        <v>673</v>
      </c>
      <c r="G17" s="53">
        <v>682</v>
      </c>
      <c r="H17" s="53">
        <v>737</v>
      </c>
      <c r="I17" s="53">
        <v>754</v>
      </c>
    </row>
    <row r="18" spans="1:9" s="56" customFormat="1" ht="12.75">
      <c r="A18" s="54" t="s">
        <v>4</v>
      </c>
      <c r="B18" s="55">
        <f aca="true" t="shared" si="1" ref="B18:G18">SUM(B16:B17)</f>
        <v>2026</v>
      </c>
      <c r="C18" s="55">
        <f t="shared" si="1"/>
        <v>2103</v>
      </c>
      <c r="D18" s="55">
        <f t="shared" si="1"/>
        <v>2159</v>
      </c>
      <c r="E18" s="55">
        <f t="shared" si="1"/>
        <v>2195</v>
      </c>
      <c r="F18" s="55">
        <f t="shared" si="1"/>
        <v>2243</v>
      </c>
      <c r="G18" s="55">
        <f t="shared" si="1"/>
        <v>2271</v>
      </c>
      <c r="H18" s="55">
        <f>SUM(H16:H17)</f>
        <v>2347</v>
      </c>
      <c r="I18" s="55">
        <f>SUM(I16:I17)</f>
        <v>2396</v>
      </c>
    </row>
    <row r="19" spans="1:9" ht="12.75">
      <c r="A19" s="45"/>
      <c r="B19" s="53"/>
      <c r="C19" s="53"/>
      <c r="D19" s="53"/>
      <c r="E19" s="53"/>
      <c r="F19" s="53"/>
      <c r="G19" s="53"/>
      <c r="H19" s="53"/>
      <c r="I19" s="53"/>
    </row>
    <row r="20" spans="1:9" ht="12.75">
      <c r="A20" s="43" t="s">
        <v>12</v>
      </c>
      <c r="B20" s="53"/>
      <c r="C20" s="53"/>
      <c r="D20" s="53"/>
      <c r="E20" s="53"/>
      <c r="F20" s="53"/>
      <c r="G20" s="53"/>
      <c r="H20" s="53"/>
      <c r="I20" s="53"/>
    </row>
    <row r="21" spans="1:9" ht="12.75">
      <c r="A21" s="45" t="s">
        <v>18</v>
      </c>
      <c r="B21" s="53">
        <v>5021</v>
      </c>
      <c r="C21" s="53">
        <v>4981</v>
      </c>
      <c r="D21" s="53">
        <v>4972</v>
      </c>
      <c r="E21" s="53">
        <v>4996</v>
      </c>
      <c r="F21" s="53">
        <v>4902</v>
      </c>
      <c r="G21" s="53">
        <v>4805</v>
      </c>
      <c r="H21" s="53">
        <v>4728</v>
      </c>
      <c r="I21" s="53">
        <v>4577</v>
      </c>
    </row>
    <row r="22" spans="1:9" ht="12.75">
      <c r="A22" s="45" t="s">
        <v>19</v>
      </c>
      <c r="B22" s="53">
        <v>1768</v>
      </c>
      <c r="C22" s="53">
        <v>1803</v>
      </c>
      <c r="D22" s="53">
        <v>1745</v>
      </c>
      <c r="E22" s="53">
        <v>1574</v>
      </c>
      <c r="F22" s="53">
        <v>1617</v>
      </c>
      <c r="G22" s="53">
        <v>1617</v>
      </c>
      <c r="H22" s="53">
        <v>1651</v>
      </c>
      <c r="I22" s="53">
        <v>1575</v>
      </c>
    </row>
    <row r="23" spans="1:9" s="56" customFormat="1" ht="12.75">
      <c r="A23" s="54" t="s">
        <v>4</v>
      </c>
      <c r="B23" s="55">
        <f aca="true" t="shared" si="2" ref="B23:G23">SUM(B21:B22)</f>
        <v>6789</v>
      </c>
      <c r="C23" s="55">
        <f t="shared" si="2"/>
        <v>6784</v>
      </c>
      <c r="D23" s="55">
        <f t="shared" si="2"/>
        <v>6717</v>
      </c>
      <c r="E23" s="55">
        <f t="shared" si="2"/>
        <v>6570</v>
      </c>
      <c r="F23" s="55">
        <f t="shared" si="2"/>
        <v>6519</v>
      </c>
      <c r="G23" s="55">
        <f t="shared" si="2"/>
        <v>6422</v>
      </c>
      <c r="H23" s="55">
        <f>SUM(H21:H22)</f>
        <v>6379</v>
      </c>
      <c r="I23" s="55">
        <f>SUM(I21:I22)</f>
        <v>6152</v>
      </c>
    </row>
    <row r="24" spans="1:9" ht="12.75">
      <c r="A24" s="57"/>
      <c r="B24" s="53"/>
      <c r="C24" s="53"/>
      <c r="D24" s="53"/>
      <c r="E24" s="53"/>
      <c r="F24" s="53"/>
      <c r="G24" s="53"/>
      <c r="H24" s="53"/>
      <c r="I24" s="53"/>
    </row>
    <row r="25" spans="1:9" ht="12.75">
      <c r="A25" s="43" t="s">
        <v>13</v>
      </c>
      <c r="B25" s="53"/>
      <c r="C25" s="53"/>
      <c r="D25" s="53"/>
      <c r="E25" s="53"/>
      <c r="F25" s="53"/>
      <c r="G25" s="53"/>
      <c r="H25" s="53"/>
      <c r="I25" s="53"/>
    </row>
    <row r="26" spans="1:9" ht="12.75">
      <c r="A26" s="45" t="s">
        <v>18</v>
      </c>
      <c r="B26" s="53">
        <v>648</v>
      </c>
      <c r="C26" s="53">
        <v>678</v>
      </c>
      <c r="D26" s="53">
        <v>721</v>
      </c>
      <c r="E26" s="53">
        <v>769</v>
      </c>
      <c r="F26" s="53">
        <v>785</v>
      </c>
      <c r="G26" s="53">
        <v>811</v>
      </c>
      <c r="H26" s="53">
        <v>840</v>
      </c>
      <c r="I26" s="53">
        <v>847</v>
      </c>
    </row>
    <row r="27" spans="1:9" ht="12.75">
      <c r="A27" s="45" t="s">
        <v>19</v>
      </c>
      <c r="B27" s="53">
        <v>365</v>
      </c>
      <c r="C27" s="53">
        <v>370</v>
      </c>
      <c r="D27" s="53">
        <v>360</v>
      </c>
      <c r="E27" s="53">
        <v>346</v>
      </c>
      <c r="F27" s="53">
        <v>370</v>
      </c>
      <c r="G27" s="53">
        <v>416</v>
      </c>
      <c r="H27" s="53">
        <v>447</v>
      </c>
      <c r="I27" s="53">
        <v>468</v>
      </c>
    </row>
    <row r="28" spans="1:9" s="56" customFormat="1" ht="12.75">
      <c r="A28" s="54" t="s">
        <v>4</v>
      </c>
      <c r="B28" s="55">
        <f aca="true" t="shared" si="3" ref="B28:G28">SUM(B26:B27)</f>
        <v>1013</v>
      </c>
      <c r="C28" s="55">
        <f t="shared" si="3"/>
        <v>1048</v>
      </c>
      <c r="D28" s="55">
        <f t="shared" si="3"/>
        <v>1081</v>
      </c>
      <c r="E28" s="55">
        <f t="shared" si="3"/>
        <v>1115</v>
      </c>
      <c r="F28" s="55">
        <f t="shared" si="3"/>
        <v>1155</v>
      </c>
      <c r="G28" s="55">
        <f t="shared" si="3"/>
        <v>1227</v>
      </c>
      <c r="H28" s="55">
        <f>SUM(H26:H27)</f>
        <v>1287</v>
      </c>
      <c r="I28" s="55">
        <f>SUM(I26:I27)</f>
        <v>1315</v>
      </c>
    </row>
    <row r="29" spans="1:9" s="56" customFormat="1" ht="12.75">
      <c r="A29" s="54"/>
      <c r="B29" s="206"/>
      <c r="C29" s="206"/>
      <c r="D29" s="206"/>
      <c r="E29" s="206"/>
      <c r="F29" s="206"/>
      <c r="G29" s="206"/>
      <c r="H29" s="206"/>
      <c r="I29" s="206"/>
    </row>
    <row r="30" spans="1:9" s="56" customFormat="1" ht="12.75">
      <c r="A30" s="43" t="s">
        <v>75</v>
      </c>
      <c r="B30" s="206"/>
      <c r="C30" s="206"/>
      <c r="D30" s="206"/>
      <c r="E30" s="206"/>
      <c r="F30" s="206"/>
      <c r="G30" s="206"/>
      <c r="H30" s="206"/>
      <c r="I30" s="206"/>
    </row>
    <row r="31" spans="1:9" s="56" customFormat="1" ht="12.75">
      <c r="A31" s="45" t="s">
        <v>18</v>
      </c>
      <c r="B31" s="206"/>
      <c r="C31" s="206">
        <v>13</v>
      </c>
      <c r="D31" s="206">
        <v>15</v>
      </c>
      <c r="E31" s="206">
        <v>16</v>
      </c>
      <c r="F31" s="206">
        <v>16</v>
      </c>
      <c r="G31" s="206">
        <v>16</v>
      </c>
      <c r="H31" s="206">
        <v>16</v>
      </c>
      <c r="I31" s="206">
        <v>14</v>
      </c>
    </row>
    <row r="32" spans="1:9" s="56" customFormat="1" ht="12.75">
      <c r="A32" s="45" t="s">
        <v>19</v>
      </c>
      <c r="B32" s="206"/>
      <c r="C32" s="206">
        <v>7</v>
      </c>
      <c r="D32" s="206">
        <v>4</v>
      </c>
      <c r="E32" s="206">
        <v>3</v>
      </c>
      <c r="F32" s="206">
        <v>2</v>
      </c>
      <c r="G32" s="206">
        <v>4</v>
      </c>
      <c r="H32" s="206">
        <v>5</v>
      </c>
      <c r="I32" s="206">
        <v>6</v>
      </c>
    </row>
    <row r="33" spans="1:9" s="56" customFormat="1" ht="12.75">
      <c r="A33" s="54" t="s">
        <v>4</v>
      </c>
      <c r="B33" s="212"/>
      <c r="C33" s="55">
        <f aca="true" t="shared" si="4" ref="C33:H33">SUM(C31:C32)</f>
        <v>20</v>
      </c>
      <c r="D33" s="55">
        <f t="shared" si="4"/>
        <v>19</v>
      </c>
      <c r="E33" s="55">
        <f t="shared" si="4"/>
        <v>19</v>
      </c>
      <c r="F33" s="55">
        <f t="shared" si="4"/>
        <v>18</v>
      </c>
      <c r="G33" s="55">
        <f t="shared" si="4"/>
        <v>20</v>
      </c>
      <c r="H33" s="55">
        <f t="shared" si="4"/>
        <v>21</v>
      </c>
      <c r="I33" s="55">
        <f>SUM(I31:I32)</f>
        <v>20</v>
      </c>
    </row>
    <row r="34" spans="1:9" ht="12.75">
      <c r="A34" s="45"/>
      <c r="B34" s="53"/>
      <c r="C34" s="53"/>
      <c r="D34" s="53"/>
      <c r="E34" s="53"/>
      <c r="F34" s="53"/>
      <c r="G34" s="53"/>
      <c r="H34" s="53"/>
      <c r="I34" s="53"/>
    </row>
    <row r="35" spans="1:9" ht="12.75">
      <c r="A35" s="43" t="s">
        <v>14</v>
      </c>
      <c r="B35" s="53"/>
      <c r="C35" s="53"/>
      <c r="D35" s="53"/>
      <c r="E35" s="53"/>
      <c r="F35" s="53"/>
      <c r="G35" s="53"/>
      <c r="H35" s="53"/>
      <c r="I35" s="53"/>
    </row>
    <row r="36" spans="1:9" ht="12.75">
      <c r="A36" s="45" t="s">
        <v>18</v>
      </c>
      <c r="B36" s="53">
        <v>1336</v>
      </c>
      <c r="C36" s="53">
        <v>1354</v>
      </c>
      <c r="D36" s="53">
        <v>1378</v>
      </c>
      <c r="E36" s="53">
        <v>1453</v>
      </c>
      <c r="F36" s="53">
        <v>1542</v>
      </c>
      <c r="G36" s="53">
        <v>1460</v>
      </c>
      <c r="H36" s="53">
        <v>1399</v>
      </c>
      <c r="I36" s="53">
        <v>1391</v>
      </c>
    </row>
    <row r="37" spans="1:9" ht="12.75">
      <c r="A37" s="45" t="s">
        <v>19</v>
      </c>
      <c r="B37" s="53">
        <v>691</v>
      </c>
      <c r="C37" s="53">
        <v>779</v>
      </c>
      <c r="D37" s="53">
        <v>783</v>
      </c>
      <c r="E37" s="53">
        <v>688</v>
      </c>
      <c r="F37" s="53">
        <v>693</v>
      </c>
      <c r="G37" s="53">
        <v>587</v>
      </c>
      <c r="H37" s="53">
        <v>566</v>
      </c>
      <c r="I37" s="53">
        <v>587</v>
      </c>
    </row>
    <row r="38" spans="1:9" s="56" customFormat="1" ht="12.75">
      <c r="A38" s="54" t="s">
        <v>4</v>
      </c>
      <c r="B38" s="55">
        <f aca="true" t="shared" si="5" ref="B38:G38">SUM(B36:B37)</f>
        <v>2027</v>
      </c>
      <c r="C38" s="55">
        <f t="shared" si="5"/>
        <v>2133</v>
      </c>
      <c r="D38" s="55">
        <f t="shared" si="5"/>
        <v>2161</v>
      </c>
      <c r="E38" s="55">
        <f t="shared" si="5"/>
        <v>2141</v>
      </c>
      <c r="F38" s="55">
        <f t="shared" si="5"/>
        <v>2235</v>
      </c>
      <c r="G38" s="55">
        <f t="shared" si="5"/>
        <v>2047</v>
      </c>
      <c r="H38" s="55">
        <f>SUM(H36:H37)</f>
        <v>1965</v>
      </c>
      <c r="I38" s="55">
        <f>SUM(I36:I37)</f>
        <v>1978</v>
      </c>
    </row>
    <row r="39" spans="1:9" ht="12.75">
      <c r="A39" s="45"/>
      <c r="B39" s="53"/>
      <c r="C39" s="53"/>
      <c r="D39" s="53"/>
      <c r="E39" s="53"/>
      <c r="F39" s="53"/>
      <c r="G39" s="53"/>
      <c r="H39" s="53"/>
      <c r="I39" s="53"/>
    </row>
    <row r="40" spans="1:9" ht="12.75">
      <c r="A40" s="1" t="s">
        <v>50</v>
      </c>
      <c r="B40" s="53"/>
      <c r="C40" s="53"/>
      <c r="D40" s="53"/>
      <c r="E40" s="53"/>
      <c r="F40" s="53"/>
      <c r="G40" s="53"/>
      <c r="H40" s="53"/>
      <c r="I40" s="53"/>
    </row>
    <row r="41" spans="1:9" ht="12.75">
      <c r="A41" s="45" t="s">
        <v>18</v>
      </c>
      <c r="B41" s="53">
        <v>0</v>
      </c>
      <c r="C41" s="53">
        <v>0</v>
      </c>
      <c r="D41" s="53">
        <v>0</v>
      </c>
      <c r="E41" s="53">
        <v>0</v>
      </c>
      <c r="F41" s="53">
        <v>0</v>
      </c>
      <c r="G41" s="53">
        <v>0</v>
      </c>
      <c r="H41" s="53">
        <v>0</v>
      </c>
      <c r="I41" s="53">
        <v>0</v>
      </c>
    </row>
    <row r="42" spans="1:9" ht="12.75">
      <c r="A42" s="45" t="s">
        <v>19</v>
      </c>
      <c r="B42" s="53">
        <v>55</v>
      </c>
      <c r="C42" s="53">
        <v>58</v>
      </c>
      <c r="D42" s="53">
        <v>57</v>
      </c>
      <c r="E42" s="53">
        <v>56</v>
      </c>
      <c r="F42" s="53">
        <v>60</v>
      </c>
      <c r="G42" s="53">
        <v>63</v>
      </c>
      <c r="H42" s="53">
        <v>70</v>
      </c>
      <c r="I42" s="53">
        <v>83</v>
      </c>
    </row>
    <row r="43" spans="1:9" ht="12.75">
      <c r="A43" s="54" t="s">
        <v>4</v>
      </c>
      <c r="B43" s="55">
        <f aca="true" t="shared" si="6" ref="B43:G43">B41+B42</f>
        <v>55</v>
      </c>
      <c r="C43" s="55">
        <f t="shared" si="6"/>
        <v>58</v>
      </c>
      <c r="D43" s="55">
        <f t="shared" si="6"/>
        <v>57</v>
      </c>
      <c r="E43" s="55">
        <f t="shared" si="6"/>
        <v>56</v>
      </c>
      <c r="F43" s="55">
        <f t="shared" si="6"/>
        <v>60</v>
      </c>
      <c r="G43" s="55">
        <f t="shared" si="6"/>
        <v>63</v>
      </c>
      <c r="H43" s="55">
        <f>H41+H42</f>
        <v>70</v>
      </c>
      <c r="I43" s="55">
        <f>I41+I42</f>
        <v>83</v>
      </c>
    </row>
    <row r="44" spans="1:9" ht="12.75">
      <c r="A44" s="45"/>
      <c r="B44" s="53"/>
      <c r="C44" s="53"/>
      <c r="D44" s="53"/>
      <c r="E44" s="53"/>
      <c r="F44" s="53"/>
      <c r="G44" s="53"/>
      <c r="H44" s="53"/>
      <c r="I44" s="53"/>
    </row>
    <row r="45" spans="1:9" ht="12.75">
      <c r="A45" s="1" t="s">
        <v>46</v>
      </c>
      <c r="B45" s="53"/>
      <c r="C45" s="53"/>
      <c r="D45" s="53"/>
      <c r="E45" s="53"/>
      <c r="F45" s="53"/>
      <c r="G45" s="53"/>
      <c r="H45" s="53"/>
      <c r="I45" s="53"/>
    </row>
    <row r="46" spans="1:9" ht="12.75">
      <c r="A46" s="45" t="s">
        <v>18</v>
      </c>
      <c r="B46" s="53">
        <v>260</v>
      </c>
      <c r="C46" s="53">
        <v>280</v>
      </c>
      <c r="D46" s="53">
        <v>340</v>
      </c>
      <c r="E46" s="53">
        <v>366</v>
      </c>
      <c r="F46" s="53">
        <v>386</v>
      </c>
      <c r="G46" s="53">
        <v>395</v>
      </c>
      <c r="H46" s="53">
        <v>405</v>
      </c>
      <c r="I46" s="53">
        <v>409</v>
      </c>
    </row>
    <row r="47" spans="1:9" ht="12.75">
      <c r="A47" s="45" t="s">
        <v>19</v>
      </c>
      <c r="B47" s="53">
        <v>248</v>
      </c>
      <c r="C47" s="53">
        <v>259</v>
      </c>
      <c r="D47" s="53">
        <v>213</v>
      </c>
      <c r="E47" s="53">
        <v>190</v>
      </c>
      <c r="F47" s="53">
        <v>189</v>
      </c>
      <c r="G47" s="53">
        <v>199</v>
      </c>
      <c r="H47" s="53">
        <v>211</v>
      </c>
      <c r="I47" s="53">
        <v>213</v>
      </c>
    </row>
    <row r="48" spans="1:9" s="56" customFormat="1" ht="12.75">
      <c r="A48" s="54" t="s">
        <v>4</v>
      </c>
      <c r="B48" s="55">
        <f aca="true" t="shared" si="7" ref="B48:G48">SUM(B46:B47)</f>
        <v>508</v>
      </c>
      <c r="C48" s="55">
        <f t="shared" si="7"/>
        <v>539</v>
      </c>
      <c r="D48" s="55">
        <f t="shared" si="7"/>
        <v>553</v>
      </c>
      <c r="E48" s="55">
        <f t="shared" si="7"/>
        <v>556</v>
      </c>
      <c r="F48" s="55">
        <f t="shared" si="7"/>
        <v>575</v>
      </c>
      <c r="G48" s="55">
        <f t="shared" si="7"/>
        <v>594</v>
      </c>
      <c r="H48" s="55">
        <f>SUM(H46:H47)</f>
        <v>616</v>
      </c>
      <c r="I48" s="55">
        <f>SUM(I46:I47)</f>
        <v>622</v>
      </c>
    </row>
    <row r="49" spans="1:9" ht="12.75">
      <c r="A49" s="45"/>
      <c r="B49" s="53"/>
      <c r="C49" s="53"/>
      <c r="D49" s="53"/>
      <c r="E49" s="53"/>
      <c r="F49" s="53"/>
      <c r="G49" s="53"/>
      <c r="H49" s="53"/>
      <c r="I49" s="53"/>
    </row>
    <row r="50" spans="1:9" ht="12.75">
      <c r="A50" s="1" t="s">
        <v>47</v>
      </c>
      <c r="B50" s="53"/>
      <c r="C50" s="53"/>
      <c r="D50" s="53"/>
      <c r="E50" s="53"/>
      <c r="F50" s="53"/>
      <c r="G50" s="53"/>
      <c r="H50" s="53"/>
      <c r="I50" s="53"/>
    </row>
    <row r="51" spans="1:9" ht="12.75">
      <c r="A51" s="45" t="s">
        <v>18</v>
      </c>
      <c r="B51" s="53">
        <v>22</v>
      </c>
      <c r="C51" s="53">
        <v>24</v>
      </c>
      <c r="D51" s="53">
        <v>28</v>
      </c>
      <c r="E51" s="53">
        <v>31</v>
      </c>
      <c r="F51" s="53">
        <v>34</v>
      </c>
      <c r="G51" s="53">
        <v>31</v>
      </c>
      <c r="H51" s="53">
        <v>28</v>
      </c>
      <c r="I51" s="53">
        <v>26</v>
      </c>
    </row>
    <row r="52" spans="1:9" ht="12.75">
      <c r="A52" s="45" t="s">
        <v>19</v>
      </c>
      <c r="B52" s="53">
        <v>20</v>
      </c>
      <c r="C52" s="53">
        <v>19</v>
      </c>
      <c r="D52" s="53">
        <v>14</v>
      </c>
      <c r="E52" s="53">
        <v>10</v>
      </c>
      <c r="F52" s="53">
        <v>9</v>
      </c>
      <c r="G52" s="53">
        <v>15</v>
      </c>
      <c r="H52" s="53">
        <v>14</v>
      </c>
      <c r="I52" s="53">
        <v>17</v>
      </c>
    </row>
    <row r="53" spans="1:9" s="56" customFormat="1" ht="12.75">
      <c r="A53" s="54" t="s">
        <v>4</v>
      </c>
      <c r="B53" s="55">
        <f aca="true" t="shared" si="8" ref="B53:G53">SUM(B51:B52)</f>
        <v>42</v>
      </c>
      <c r="C53" s="55">
        <f t="shared" si="8"/>
        <v>43</v>
      </c>
      <c r="D53" s="55">
        <f t="shared" si="8"/>
        <v>42</v>
      </c>
      <c r="E53" s="55">
        <f t="shared" si="8"/>
        <v>41</v>
      </c>
      <c r="F53" s="55">
        <f t="shared" si="8"/>
        <v>43</v>
      </c>
      <c r="G53" s="55">
        <f t="shared" si="8"/>
        <v>46</v>
      </c>
      <c r="H53" s="55">
        <f>SUM(H51:H52)</f>
        <v>42</v>
      </c>
      <c r="I53" s="55">
        <f>SUM(I51:I52)</f>
        <v>43</v>
      </c>
    </row>
    <row r="54" spans="1:9" ht="12.75">
      <c r="A54" s="45"/>
      <c r="B54" s="53"/>
      <c r="C54" s="53"/>
      <c r="D54" s="53"/>
      <c r="E54" s="53"/>
      <c r="F54" s="53"/>
      <c r="G54" s="53"/>
      <c r="H54" s="53"/>
      <c r="I54" s="53"/>
    </row>
    <row r="55" spans="1:9" ht="12.75">
      <c r="A55" s="43" t="s">
        <v>15</v>
      </c>
      <c r="B55" s="53"/>
      <c r="C55" s="53"/>
      <c r="D55" s="53"/>
      <c r="E55" s="53"/>
      <c r="F55" s="53"/>
      <c r="G55" s="53"/>
      <c r="H55" s="53"/>
      <c r="I55" s="53"/>
    </row>
    <row r="56" spans="1:9" ht="12.75">
      <c r="A56" s="45" t="s">
        <v>18</v>
      </c>
      <c r="B56" s="53">
        <v>132</v>
      </c>
      <c r="C56" s="53">
        <v>136</v>
      </c>
      <c r="D56" s="53">
        <v>145</v>
      </c>
      <c r="E56" s="53">
        <v>150</v>
      </c>
      <c r="F56" s="53">
        <v>152</v>
      </c>
      <c r="G56" s="53">
        <v>153</v>
      </c>
      <c r="H56" s="53">
        <v>150</v>
      </c>
      <c r="I56" s="53">
        <v>155</v>
      </c>
    </row>
    <row r="57" spans="1:9" ht="12.75">
      <c r="A57" s="45" t="s">
        <v>19</v>
      </c>
      <c r="B57" s="53">
        <v>64</v>
      </c>
      <c r="C57" s="53">
        <v>64</v>
      </c>
      <c r="D57" s="53">
        <v>59</v>
      </c>
      <c r="E57" s="53">
        <v>54</v>
      </c>
      <c r="F57" s="53">
        <v>51</v>
      </c>
      <c r="G57" s="53">
        <v>51</v>
      </c>
      <c r="H57" s="53">
        <v>62</v>
      </c>
      <c r="I57" s="53">
        <v>65</v>
      </c>
    </row>
    <row r="58" spans="1:9" s="56" customFormat="1" ht="12.75">
      <c r="A58" s="54" t="s">
        <v>4</v>
      </c>
      <c r="B58" s="55">
        <f aca="true" t="shared" si="9" ref="B58:G58">SUM(B56:B57)</f>
        <v>196</v>
      </c>
      <c r="C58" s="55">
        <f t="shared" si="9"/>
        <v>200</v>
      </c>
      <c r="D58" s="55">
        <f t="shared" si="9"/>
        <v>204</v>
      </c>
      <c r="E58" s="55">
        <f t="shared" si="9"/>
        <v>204</v>
      </c>
      <c r="F58" s="55">
        <f t="shared" si="9"/>
        <v>203</v>
      </c>
      <c r="G58" s="55">
        <f t="shared" si="9"/>
        <v>204</v>
      </c>
      <c r="H58" s="55">
        <f>SUM(H56:H57)</f>
        <v>212</v>
      </c>
      <c r="I58" s="55">
        <f>SUM(I56:I57)</f>
        <v>220</v>
      </c>
    </row>
    <row r="59" spans="1:9" ht="12.75">
      <c r="A59" s="54"/>
      <c r="B59" s="53"/>
      <c r="C59" s="53"/>
      <c r="D59" s="53"/>
      <c r="E59" s="53"/>
      <c r="F59" s="53"/>
      <c r="G59" s="53"/>
      <c r="H59" s="53"/>
      <c r="I59" s="53"/>
    </row>
    <row r="60" spans="1:9" ht="12.75">
      <c r="A60" s="43" t="s">
        <v>41</v>
      </c>
      <c r="B60" s="53"/>
      <c r="C60" s="53"/>
      <c r="D60" s="53"/>
      <c r="E60" s="53"/>
      <c r="F60" s="53"/>
      <c r="G60" s="53"/>
      <c r="H60" s="53"/>
      <c r="I60" s="53"/>
    </row>
    <row r="61" spans="1:9" ht="12.75">
      <c r="A61" s="45" t="s">
        <v>18</v>
      </c>
      <c r="B61" s="53">
        <v>3453</v>
      </c>
      <c r="C61" s="53">
        <v>3424</v>
      </c>
      <c r="D61" s="53">
        <v>3451</v>
      </c>
      <c r="E61" s="53">
        <v>3598</v>
      </c>
      <c r="F61" s="53">
        <v>3570</v>
      </c>
      <c r="G61" s="53">
        <v>3594</v>
      </c>
      <c r="H61" s="53">
        <v>3548</v>
      </c>
      <c r="I61" s="53">
        <v>3546</v>
      </c>
    </row>
    <row r="62" spans="1:9" ht="12.75">
      <c r="A62" s="45" t="s">
        <v>19</v>
      </c>
      <c r="B62" s="53">
        <v>1580</v>
      </c>
      <c r="C62" s="53">
        <v>1713</v>
      </c>
      <c r="D62" s="53">
        <v>1683</v>
      </c>
      <c r="E62" s="53">
        <v>1546</v>
      </c>
      <c r="F62" s="53">
        <v>1579</v>
      </c>
      <c r="G62" s="53">
        <v>1558</v>
      </c>
      <c r="H62" s="53">
        <v>1599</v>
      </c>
      <c r="I62" s="53">
        <v>1607</v>
      </c>
    </row>
    <row r="63" spans="1:9" s="56" customFormat="1" ht="12.75">
      <c r="A63" s="172" t="s">
        <v>4</v>
      </c>
      <c r="B63" s="173">
        <f aca="true" t="shared" si="10" ref="B63:G63">SUM(B61:B62)</f>
        <v>5033</v>
      </c>
      <c r="C63" s="173">
        <f t="shared" si="10"/>
        <v>5137</v>
      </c>
      <c r="D63" s="173">
        <f t="shared" si="10"/>
        <v>5134</v>
      </c>
      <c r="E63" s="173">
        <f t="shared" si="10"/>
        <v>5144</v>
      </c>
      <c r="F63" s="173">
        <f t="shared" si="10"/>
        <v>5149</v>
      </c>
      <c r="G63" s="173">
        <f t="shared" si="10"/>
        <v>5152</v>
      </c>
      <c r="H63" s="173">
        <f>SUM(H61:H62)</f>
        <v>5147</v>
      </c>
      <c r="I63" s="173">
        <f>SUM(I61:I62)</f>
        <v>5153</v>
      </c>
    </row>
    <row r="64" spans="1:9" ht="12.75">
      <c r="A64" s="171"/>
      <c r="B64" s="53"/>
      <c r="C64" s="53"/>
      <c r="D64" s="53"/>
      <c r="E64" s="53"/>
      <c r="F64" s="53"/>
      <c r="G64" s="53"/>
      <c r="H64" s="53"/>
      <c r="I64" s="53"/>
    </row>
    <row r="65" spans="1:9" s="27" customFormat="1" ht="7.5" customHeight="1">
      <c r="A65" s="210"/>
      <c r="B65" s="36"/>
      <c r="C65" s="36"/>
      <c r="D65" s="36"/>
      <c r="E65" s="36"/>
      <c r="F65" s="36"/>
      <c r="G65" s="36"/>
      <c r="H65" s="36"/>
      <c r="I65" s="36"/>
    </row>
    <row r="66" spans="1:9" s="27" customFormat="1" ht="12.75">
      <c r="A66" s="42" t="s">
        <v>126</v>
      </c>
      <c r="B66" s="36"/>
      <c r="C66" s="36"/>
      <c r="D66" s="36"/>
      <c r="E66" s="36"/>
      <c r="F66" s="36"/>
      <c r="G66" s="36"/>
      <c r="H66" s="36"/>
      <c r="I66" s="36"/>
    </row>
    <row r="67" spans="1:9" s="27" customFormat="1" ht="12.75">
      <c r="A67" s="28" t="s">
        <v>18</v>
      </c>
      <c r="B67" s="36">
        <f aca="true" t="shared" si="11" ref="B67:I68">SUM(B11,B16,B21,B26,B31,B36,B51,B56,B61,B46,B41)</f>
        <v>14957</v>
      </c>
      <c r="C67" s="36">
        <f t="shared" si="11"/>
        <v>15092</v>
      </c>
      <c r="D67" s="36">
        <f t="shared" si="11"/>
        <v>15361</v>
      </c>
      <c r="E67" s="36">
        <f t="shared" si="11"/>
        <v>16035</v>
      </c>
      <c r="F67" s="36">
        <f t="shared" si="11"/>
        <v>16126</v>
      </c>
      <c r="G67" s="36">
        <f t="shared" si="11"/>
        <v>16074</v>
      </c>
      <c r="H67" s="36">
        <f t="shared" si="11"/>
        <v>15954</v>
      </c>
      <c r="I67" s="36">
        <f t="shared" si="11"/>
        <v>15897</v>
      </c>
    </row>
    <row r="68" spans="1:9" s="27" customFormat="1" ht="12.75">
      <c r="A68" s="28" t="s">
        <v>19</v>
      </c>
      <c r="B68" s="36">
        <f t="shared" si="11"/>
        <v>7126</v>
      </c>
      <c r="C68" s="36">
        <f t="shared" si="11"/>
        <v>7464</v>
      </c>
      <c r="D68" s="36">
        <f t="shared" si="11"/>
        <v>7308</v>
      </c>
      <c r="E68" s="36">
        <f t="shared" si="11"/>
        <v>6634</v>
      </c>
      <c r="F68" s="36">
        <f t="shared" si="11"/>
        <v>6809</v>
      </c>
      <c r="G68" s="36">
        <f t="shared" si="11"/>
        <v>6767</v>
      </c>
      <c r="H68" s="36">
        <f t="shared" si="11"/>
        <v>7016</v>
      </c>
      <c r="I68" s="36">
        <f t="shared" si="11"/>
        <v>7081</v>
      </c>
    </row>
    <row r="69" spans="1:9" s="39" customFormat="1" ht="12.75">
      <c r="A69" s="37" t="s">
        <v>4</v>
      </c>
      <c r="B69" s="38">
        <f aca="true" t="shared" si="12" ref="B69:G69">SUM(B67:B68)</f>
        <v>22083</v>
      </c>
      <c r="C69" s="38">
        <f t="shared" si="12"/>
        <v>22556</v>
      </c>
      <c r="D69" s="38">
        <f t="shared" si="12"/>
        <v>22669</v>
      </c>
      <c r="E69" s="38">
        <f t="shared" si="12"/>
        <v>22669</v>
      </c>
      <c r="F69" s="38">
        <f t="shared" si="12"/>
        <v>22935</v>
      </c>
      <c r="G69" s="38">
        <f t="shared" si="12"/>
        <v>22841</v>
      </c>
      <c r="H69" s="38">
        <f>SUM(H67:H68)</f>
        <v>22970</v>
      </c>
      <c r="I69" s="38">
        <f>SUM(I67:I68)</f>
        <v>22978</v>
      </c>
    </row>
    <row r="71" ht="12.75">
      <c r="A71" s="218" t="s">
        <v>64</v>
      </c>
    </row>
    <row r="72" ht="12.75">
      <c r="A72" s="58" t="s">
        <v>21</v>
      </c>
    </row>
  </sheetData>
  <sheetProtection/>
  <mergeCells count="2">
    <mergeCell ref="A2:I2"/>
    <mergeCell ref="A4:I4"/>
  </mergeCells>
  <printOptions horizontalCentered="1"/>
  <pageMargins left="0.1968503937007874" right="0.1968503937007874" top="0.5905511811023623" bottom="0.3937007874015748" header="0.31496062992125984" footer="0.31496062992125984"/>
  <pageSetup fitToHeight="1" fitToWidth="1" horizontalDpi="1200" verticalDpi="1200" orientation="portrait" paperSize="9" scale="81"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L111"/>
  <sheetViews>
    <sheetView zoomScalePageLayoutView="0" workbookViewId="0" topLeftCell="A1">
      <selection activeCell="A86" sqref="A86"/>
    </sheetView>
  </sheetViews>
  <sheetFormatPr defaultColWidth="9.28125" defaultRowHeight="12.75"/>
  <cols>
    <col min="1" max="1" width="32.7109375" style="4" customWidth="1"/>
    <col min="2" max="10" width="10.421875" style="4" customWidth="1"/>
    <col min="11" max="16384" width="9.28125" style="4" customWidth="1"/>
  </cols>
  <sheetData>
    <row r="1" spans="1:10" ht="12.75">
      <c r="A1" s="1" t="s">
        <v>122</v>
      </c>
      <c r="B1" s="2"/>
      <c r="C1" s="2"/>
      <c r="D1" s="2"/>
      <c r="E1" s="2"/>
      <c r="F1" s="2"/>
      <c r="G1" s="2"/>
      <c r="H1" s="2"/>
      <c r="I1" s="2"/>
      <c r="J1" s="2"/>
    </row>
    <row r="2" spans="1:10" ht="12.75">
      <c r="A2" s="5" t="s">
        <v>22</v>
      </c>
      <c r="B2" s="7"/>
      <c r="C2" s="7"/>
      <c r="D2" s="7"/>
      <c r="E2" s="6"/>
      <c r="F2" s="6"/>
      <c r="G2" s="6"/>
      <c r="H2" s="6"/>
      <c r="I2" s="6"/>
      <c r="J2" s="6"/>
    </row>
    <row r="3" spans="1:10" ht="12.75">
      <c r="A3" s="5"/>
      <c r="B3" s="7"/>
      <c r="C3" s="7"/>
      <c r="D3" s="7"/>
      <c r="E3" s="6"/>
      <c r="F3" s="6"/>
      <c r="G3" s="6"/>
      <c r="H3" s="6"/>
      <c r="I3" s="6"/>
      <c r="J3" s="6"/>
    </row>
    <row r="4" spans="1:10" ht="12.75">
      <c r="A4" s="5" t="s">
        <v>127</v>
      </c>
      <c r="B4" s="7"/>
      <c r="C4" s="7"/>
      <c r="D4" s="7"/>
      <c r="E4" s="6"/>
      <c r="F4" s="6"/>
      <c r="G4" s="6"/>
      <c r="H4" s="6"/>
      <c r="I4" s="6"/>
      <c r="J4" s="6"/>
    </row>
    <row r="5" spans="1:10" ht="13.5" thickBot="1">
      <c r="A5" s="2"/>
      <c r="B5" s="2"/>
      <c r="C5" s="2"/>
      <c r="D5" s="2"/>
      <c r="E5" s="2"/>
      <c r="F5" s="2"/>
      <c r="G5" s="2"/>
      <c r="H5" s="2"/>
      <c r="I5" s="2"/>
      <c r="J5" s="2"/>
    </row>
    <row r="6" spans="1:10" ht="12.75">
      <c r="A6" s="8"/>
      <c r="B6" s="9" t="s">
        <v>2</v>
      </c>
      <c r="C6" s="10"/>
      <c r="D6" s="10"/>
      <c r="E6" s="9" t="s">
        <v>3</v>
      </c>
      <c r="F6" s="10"/>
      <c r="G6" s="10"/>
      <c r="H6" s="9" t="s">
        <v>4</v>
      </c>
      <c r="I6" s="10"/>
      <c r="J6" s="10"/>
    </row>
    <row r="7" spans="1:10" s="156" customFormat="1" ht="12.75">
      <c r="A7" s="64"/>
      <c r="B7" s="175" t="s">
        <v>5</v>
      </c>
      <c r="C7" s="176" t="s">
        <v>6</v>
      </c>
      <c r="D7" s="176" t="s">
        <v>4</v>
      </c>
      <c r="E7" s="175" t="s">
        <v>5</v>
      </c>
      <c r="F7" s="176" t="s">
        <v>6</v>
      </c>
      <c r="G7" s="176" t="s">
        <v>4</v>
      </c>
      <c r="H7" s="175" t="s">
        <v>5</v>
      </c>
      <c r="I7" s="176" t="s">
        <v>6</v>
      </c>
      <c r="J7" s="176" t="s">
        <v>4</v>
      </c>
    </row>
    <row r="8" spans="1:10" ht="12.75">
      <c r="A8" s="2"/>
      <c r="B8" s="11"/>
      <c r="C8" s="12"/>
      <c r="D8" s="12"/>
      <c r="E8" s="11"/>
      <c r="F8" s="12"/>
      <c r="G8" s="12"/>
      <c r="H8" s="11"/>
      <c r="I8" s="12"/>
      <c r="J8" s="12"/>
    </row>
    <row r="9" spans="1:10" ht="12.75">
      <c r="A9" s="1" t="s">
        <v>7</v>
      </c>
      <c r="B9" s="11"/>
      <c r="C9" s="12"/>
      <c r="D9" s="12"/>
      <c r="E9" s="11"/>
      <c r="F9" s="12"/>
      <c r="G9" s="12"/>
      <c r="H9" s="11"/>
      <c r="I9" s="12"/>
      <c r="J9" s="12"/>
    </row>
    <row r="10" spans="1:10" ht="12.75">
      <c r="A10" s="2" t="s">
        <v>42</v>
      </c>
      <c r="B10" s="11">
        <v>1119</v>
      </c>
      <c r="C10" s="12">
        <v>7998</v>
      </c>
      <c r="D10" s="12">
        <f>SUM(B10:C10)</f>
        <v>9117</v>
      </c>
      <c r="E10" s="11">
        <v>165</v>
      </c>
      <c r="F10" s="12">
        <v>1063</v>
      </c>
      <c r="G10" s="12">
        <f>SUM(E10:F10)</f>
        <v>1228</v>
      </c>
      <c r="H10" s="11">
        <f>SUM(B10,E10)</f>
        <v>1284</v>
      </c>
      <c r="I10" s="12">
        <f>SUM(C10,F10)</f>
        <v>9061</v>
      </c>
      <c r="J10" s="12">
        <f>SUM(H10:I10)</f>
        <v>10345</v>
      </c>
    </row>
    <row r="11" spans="1:10" ht="12.75">
      <c r="A11" s="2" t="s">
        <v>8</v>
      </c>
      <c r="B11" s="11">
        <v>4768</v>
      </c>
      <c r="C11" s="12">
        <v>30400</v>
      </c>
      <c r="D11" s="12">
        <f>SUM(B11:C11)</f>
        <v>35168</v>
      </c>
      <c r="E11" s="11">
        <v>386</v>
      </c>
      <c r="F11" s="12">
        <v>3482</v>
      </c>
      <c r="G11" s="12">
        <f>SUM(E11:F11)</f>
        <v>3868</v>
      </c>
      <c r="H11" s="11">
        <f aca="true" t="shared" si="0" ref="H11:I13">SUM(B11,E11)</f>
        <v>5154</v>
      </c>
      <c r="I11" s="12">
        <f t="shared" si="0"/>
        <v>33882</v>
      </c>
      <c r="J11" s="12">
        <f>SUM(H11:I11)</f>
        <v>39036</v>
      </c>
    </row>
    <row r="12" spans="1:10" ht="12.75">
      <c r="A12" s="2" t="s">
        <v>9</v>
      </c>
      <c r="B12" s="11">
        <v>3</v>
      </c>
      <c r="C12" s="12">
        <v>31</v>
      </c>
      <c r="D12" s="12">
        <f>SUM(B12:C12)</f>
        <v>34</v>
      </c>
      <c r="E12" s="13">
        <v>0</v>
      </c>
      <c r="F12" s="12">
        <v>4</v>
      </c>
      <c r="G12" s="12">
        <f>SUM(E12:F12)</f>
        <v>4</v>
      </c>
      <c r="H12" s="13">
        <f t="shared" si="0"/>
        <v>3</v>
      </c>
      <c r="I12" s="12">
        <f t="shared" si="0"/>
        <v>35</v>
      </c>
      <c r="J12" s="12">
        <f>SUM(H12:I12)</f>
        <v>38</v>
      </c>
    </row>
    <row r="13" spans="1:10" ht="12.75">
      <c r="A13" s="3" t="s">
        <v>10</v>
      </c>
      <c r="B13" s="11">
        <v>1889</v>
      </c>
      <c r="C13" s="12">
        <v>11936</v>
      </c>
      <c r="D13" s="12">
        <f>SUM(B13:C13)</f>
        <v>13825</v>
      </c>
      <c r="E13" s="11">
        <v>168</v>
      </c>
      <c r="F13" s="12">
        <v>1381</v>
      </c>
      <c r="G13" s="12">
        <f>SUM(E13:F13)</f>
        <v>1549</v>
      </c>
      <c r="H13" s="11">
        <f t="shared" si="0"/>
        <v>2057</v>
      </c>
      <c r="I13" s="12">
        <f t="shared" si="0"/>
        <v>13317</v>
      </c>
      <c r="J13" s="12">
        <f>SUM(H13:I13)</f>
        <v>15374</v>
      </c>
    </row>
    <row r="14" spans="1:10" s="17" customFormat="1" ht="12.75">
      <c r="A14" s="14" t="s">
        <v>4</v>
      </c>
      <c r="B14" s="15">
        <f>SUM(B10:B13)</f>
        <v>7779</v>
      </c>
      <c r="C14" s="16">
        <f aca="true" t="shared" si="1" ref="C14:J14">SUM(C10:C13)</f>
        <v>50365</v>
      </c>
      <c r="D14" s="16">
        <f t="shared" si="1"/>
        <v>58144</v>
      </c>
      <c r="E14" s="15">
        <f t="shared" si="1"/>
        <v>719</v>
      </c>
      <c r="F14" s="16">
        <f t="shared" si="1"/>
        <v>5930</v>
      </c>
      <c r="G14" s="16">
        <f t="shared" si="1"/>
        <v>6649</v>
      </c>
      <c r="H14" s="15">
        <f t="shared" si="1"/>
        <v>8498</v>
      </c>
      <c r="I14" s="16">
        <f t="shared" si="1"/>
        <v>56295</v>
      </c>
      <c r="J14" s="16">
        <f t="shared" si="1"/>
        <v>64793</v>
      </c>
    </row>
    <row r="15" spans="1:10" ht="12.75">
      <c r="A15" s="3"/>
      <c r="B15" s="11"/>
      <c r="C15" s="12"/>
      <c r="D15" s="12"/>
      <c r="E15" s="11"/>
      <c r="F15" s="12"/>
      <c r="G15" s="12"/>
      <c r="H15" s="11"/>
      <c r="I15" s="12"/>
      <c r="J15" s="12"/>
    </row>
    <row r="16" spans="1:10" ht="12.75">
      <c r="A16" s="1" t="s">
        <v>11</v>
      </c>
      <c r="B16" s="11"/>
      <c r="C16" s="12"/>
      <c r="D16" s="12"/>
      <c r="E16" s="11"/>
      <c r="F16" s="12"/>
      <c r="G16" s="12"/>
      <c r="H16" s="11"/>
      <c r="I16" s="12"/>
      <c r="J16" s="12"/>
    </row>
    <row r="17" spans="1:10" ht="12.75">
      <c r="A17" s="2" t="s">
        <v>42</v>
      </c>
      <c r="B17" s="11">
        <v>262</v>
      </c>
      <c r="C17" s="12">
        <v>1440</v>
      </c>
      <c r="D17" s="12">
        <f>SUM(B17:C17)</f>
        <v>1702</v>
      </c>
      <c r="E17" s="11">
        <v>62</v>
      </c>
      <c r="F17" s="12">
        <v>769</v>
      </c>
      <c r="G17" s="12">
        <f>SUM(E17:F17)</f>
        <v>831</v>
      </c>
      <c r="H17" s="11">
        <f aca="true" t="shared" si="2" ref="H17:I20">SUM(B17,E17)</f>
        <v>324</v>
      </c>
      <c r="I17" s="12">
        <f t="shared" si="2"/>
        <v>2209</v>
      </c>
      <c r="J17" s="12">
        <f>SUM(H17:I17)</f>
        <v>2533</v>
      </c>
    </row>
    <row r="18" spans="1:10" ht="12.75">
      <c r="A18" s="2" t="s">
        <v>8</v>
      </c>
      <c r="B18" s="11">
        <v>706</v>
      </c>
      <c r="C18" s="12">
        <v>3507</v>
      </c>
      <c r="D18" s="12">
        <f>SUM(B18:C18)</f>
        <v>4213</v>
      </c>
      <c r="E18" s="11">
        <v>109</v>
      </c>
      <c r="F18" s="12">
        <v>1592</v>
      </c>
      <c r="G18" s="12">
        <f>SUM(E18:F18)</f>
        <v>1701</v>
      </c>
      <c r="H18" s="11">
        <f t="shared" si="2"/>
        <v>815</v>
      </c>
      <c r="I18" s="12">
        <f t="shared" si="2"/>
        <v>5099</v>
      </c>
      <c r="J18" s="12">
        <f>SUM(H18:I18)</f>
        <v>5914</v>
      </c>
    </row>
    <row r="19" spans="1:10" ht="12.75">
      <c r="A19" s="2" t="s">
        <v>9</v>
      </c>
      <c r="B19" s="13">
        <v>19</v>
      </c>
      <c r="C19" s="18">
        <v>100</v>
      </c>
      <c r="D19" s="18">
        <f>SUM(B19:C19)</f>
        <v>119</v>
      </c>
      <c r="E19" s="13">
        <v>1</v>
      </c>
      <c r="F19" s="18">
        <v>34</v>
      </c>
      <c r="G19" s="18">
        <f>SUM(E19:F19)</f>
        <v>35</v>
      </c>
      <c r="H19" s="13">
        <f t="shared" si="2"/>
        <v>20</v>
      </c>
      <c r="I19" s="18">
        <f t="shared" si="2"/>
        <v>134</v>
      </c>
      <c r="J19" s="18">
        <f>SUM(H19:I19)</f>
        <v>154</v>
      </c>
    </row>
    <row r="20" spans="1:10" ht="12.75">
      <c r="A20" s="2" t="s">
        <v>10</v>
      </c>
      <c r="B20" s="11">
        <v>125</v>
      </c>
      <c r="C20" s="12">
        <v>799</v>
      </c>
      <c r="D20" s="12">
        <f>SUM(B20:C20)</f>
        <v>924</v>
      </c>
      <c r="E20" s="11">
        <v>11</v>
      </c>
      <c r="F20" s="12">
        <v>353</v>
      </c>
      <c r="G20" s="12">
        <f>SUM(E20:F20)</f>
        <v>364</v>
      </c>
      <c r="H20" s="11">
        <f t="shared" si="2"/>
        <v>136</v>
      </c>
      <c r="I20" s="12">
        <f t="shared" si="2"/>
        <v>1152</v>
      </c>
      <c r="J20" s="12">
        <f>SUM(H20:I20)</f>
        <v>1288</v>
      </c>
    </row>
    <row r="21" spans="1:10" s="17" customFormat="1" ht="12.75">
      <c r="A21" s="19" t="s">
        <v>4</v>
      </c>
      <c r="B21" s="15">
        <f aca="true" t="shared" si="3" ref="B21:J21">SUM(B17:B20)</f>
        <v>1112</v>
      </c>
      <c r="C21" s="16">
        <f t="shared" si="3"/>
        <v>5846</v>
      </c>
      <c r="D21" s="16">
        <f t="shared" si="3"/>
        <v>6958</v>
      </c>
      <c r="E21" s="15">
        <f t="shared" si="3"/>
        <v>183</v>
      </c>
      <c r="F21" s="16">
        <f t="shared" si="3"/>
        <v>2748</v>
      </c>
      <c r="G21" s="16">
        <f t="shared" si="3"/>
        <v>2931</v>
      </c>
      <c r="H21" s="15">
        <f t="shared" si="3"/>
        <v>1295</v>
      </c>
      <c r="I21" s="16">
        <f t="shared" si="3"/>
        <v>8594</v>
      </c>
      <c r="J21" s="16">
        <f t="shared" si="3"/>
        <v>9889</v>
      </c>
    </row>
    <row r="22" spans="1:10" ht="12.75">
      <c r="A22" s="2"/>
      <c r="B22" s="11"/>
      <c r="C22" s="12"/>
      <c r="D22" s="12"/>
      <c r="E22" s="11"/>
      <c r="F22" s="12"/>
      <c r="G22" s="12"/>
      <c r="H22" s="11"/>
      <c r="I22" s="12"/>
      <c r="J22" s="12"/>
    </row>
    <row r="23" spans="1:10" ht="12.75">
      <c r="A23" s="1" t="s">
        <v>12</v>
      </c>
      <c r="B23" s="11"/>
      <c r="C23" s="12"/>
      <c r="D23" s="12"/>
      <c r="E23" s="11"/>
      <c r="F23" s="12"/>
      <c r="G23" s="12"/>
      <c r="H23" s="11"/>
      <c r="I23" s="12"/>
      <c r="J23" s="12"/>
    </row>
    <row r="24" spans="1:10" ht="12.75">
      <c r="A24" s="2" t="s">
        <v>42</v>
      </c>
      <c r="B24" s="11">
        <v>4699</v>
      </c>
      <c r="C24" s="12">
        <v>7470</v>
      </c>
      <c r="D24" s="12">
        <f>SUM(B24:C24)</f>
        <v>12169</v>
      </c>
      <c r="E24" s="11">
        <v>420</v>
      </c>
      <c r="F24" s="12">
        <v>1262</v>
      </c>
      <c r="G24" s="12">
        <f>SUM(E24:F24)</f>
        <v>1682</v>
      </c>
      <c r="H24" s="11">
        <f aca="true" t="shared" si="4" ref="H24:I27">SUM(B24,E24)</f>
        <v>5119</v>
      </c>
      <c r="I24" s="12">
        <f t="shared" si="4"/>
        <v>8732</v>
      </c>
      <c r="J24" s="12">
        <f>SUM(H24:I24)</f>
        <v>13851</v>
      </c>
    </row>
    <row r="25" spans="1:10" ht="12.75">
      <c r="A25" s="2" t="s">
        <v>8</v>
      </c>
      <c r="B25" s="11">
        <v>15270</v>
      </c>
      <c r="C25" s="12">
        <v>26726</v>
      </c>
      <c r="D25" s="12">
        <f>SUM(B25:C25)</f>
        <v>41996</v>
      </c>
      <c r="E25" s="11">
        <v>1337</v>
      </c>
      <c r="F25" s="12">
        <v>3523</v>
      </c>
      <c r="G25" s="12">
        <f>SUM(E25:F25)</f>
        <v>4860</v>
      </c>
      <c r="H25" s="11">
        <f t="shared" si="4"/>
        <v>16607</v>
      </c>
      <c r="I25" s="12">
        <f t="shared" si="4"/>
        <v>30249</v>
      </c>
      <c r="J25" s="12">
        <f>SUM(H25:I25)</f>
        <v>46856</v>
      </c>
    </row>
    <row r="26" spans="1:10" ht="12.75">
      <c r="A26" s="2" t="s">
        <v>9</v>
      </c>
      <c r="B26" s="11">
        <v>1141</v>
      </c>
      <c r="C26" s="12">
        <v>1183</v>
      </c>
      <c r="D26" s="12">
        <f>SUM(B26:C26)</f>
        <v>2324</v>
      </c>
      <c r="E26" s="11">
        <v>71</v>
      </c>
      <c r="F26" s="12">
        <v>190</v>
      </c>
      <c r="G26" s="12">
        <f>SUM(E26:F26)</f>
        <v>261</v>
      </c>
      <c r="H26" s="11">
        <f t="shared" si="4"/>
        <v>1212</v>
      </c>
      <c r="I26" s="12">
        <f t="shared" si="4"/>
        <v>1373</v>
      </c>
      <c r="J26" s="12">
        <f>SUM(H26:I26)</f>
        <v>2585</v>
      </c>
    </row>
    <row r="27" spans="1:10" ht="12.75">
      <c r="A27" s="3" t="s">
        <v>10</v>
      </c>
      <c r="B27" s="11">
        <v>1409</v>
      </c>
      <c r="C27" s="12">
        <v>1733</v>
      </c>
      <c r="D27" s="12">
        <f>SUM(B27:C27)</f>
        <v>3142</v>
      </c>
      <c r="E27" s="11">
        <v>102</v>
      </c>
      <c r="F27" s="12">
        <v>273</v>
      </c>
      <c r="G27" s="12">
        <f>SUM(E27:F27)</f>
        <v>375</v>
      </c>
      <c r="H27" s="11">
        <f t="shared" si="4"/>
        <v>1511</v>
      </c>
      <c r="I27" s="12">
        <f t="shared" si="4"/>
        <v>2006</v>
      </c>
      <c r="J27" s="12">
        <f>SUM(H27:I27)</f>
        <v>3517</v>
      </c>
    </row>
    <row r="28" spans="1:10" s="17" customFormat="1" ht="12.75">
      <c r="A28" s="14" t="s">
        <v>4</v>
      </c>
      <c r="B28" s="15">
        <f aca="true" t="shared" si="5" ref="B28:J28">SUM(B24:B27)</f>
        <v>22519</v>
      </c>
      <c r="C28" s="16">
        <f t="shared" si="5"/>
        <v>37112</v>
      </c>
      <c r="D28" s="16">
        <f t="shared" si="5"/>
        <v>59631</v>
      </c>
      <c r="E28" s="15">
        <f t="shared" si="5"/>
        <v>1930</v>
      </c>
      <c r="F28" s="16">
        <f t="shared" si="5"/>
        <v>5248</v>
      </c>
      <c r="G28" s="16">
        <f t="shared" si="5"/>
        <v>7178</v>
      </c>
      <c r="H28" s="15">
        <f t="shared" si="5"/>
        <v>24449</v>
      </c>
      <c r="I28" s="16">
        <f t="shared" si="5"/>
        <v>42360</v>
      </c>
      <c r="J28" s="16">
        <f t="shared" si="5"/>
        <v>66809</v>
      </c>
    </row>
    <row r="29" spans="1:10" ht="12.75">
      <c r="A29" s="3"/>
      <c r="B29" s="11"/>
      <c r="C29" s="12"/>
      <c r="D29" s="12"/>
      <c r="E29" s="11"/>
      <c r="F29" s="12"/>
      <c r="G29" s="12"/>
      <c r="H29" s="11"/>
      <c r="I29" s="12"/>
      <c r="J29" s="12"/>
    </row>
    <row r="30" spans="1:10" ht="12.75">
      <c r="A30" s="1" t="s">
        <v>13</v>
      </c>
      <c r="B30" s="11"/>
      <c r="C30" s="12"/>
      <c r="D30" s="12"/>
      <c r="E30" s="11"/>
      <c r="F30" s="12"/>
      <c r="G30" s="12"/>
      <c r="H30" s="11"/>
      <c r="I30" s="12"/>
      <c r="J30" s="12"/>
    </row>
    <row r="31" spans="1:10" ht="12.75">
      <c r="A31" s="2" t="s">
        <v>42</v>
      </c>
      <c r="B31" s="11">
        <v>654</v>
      </c>
      <c r="C31" s="12">
        <v>1233</v>
      </c>
      <c r="D31" s="12">
        <f>SUM(B31:C31)</f>
        <v>1887</v>
      </c>
      <c r="E31" s="11">
        <v>50</v>
      </c>
      <c r="F31" s="12">
        <v>387</v>
      </c>
      <c r="G31" s="12">
        <f>SUM(E31:F31)</f>
        <v>437</v>
      </c>
      <c r="H31" s="11">
        <f aca="true" t="shared" si="6" ref="H31:I34">SUM(B31,E31)</f>
        <v>704</v>
      </c>
      <c r="I31" s="12">
        <f t="shared" si="6"/>
        <v>1620</v>
      </c>
      <c r="J31" s="12">
        <f>SUM(H31:I31)</f>
        <v>2324</v>
      </c>
    </row>
    <row r="32" spans="1:10" ht="12.75">
      <c r="A32" s="2" t="s">
        <v>8</v>
      </c>
      <c r="B32" s="11">
        <v>1540</v>
      </c>
      <c r="C32" s="12">
        <v>3180</v>
      </c>
      <c r="D32" s="12">
        <f>SUM(B32:C32)</f>
        <v>4720</v>
      </c>
      <c r="E32" s="11">
        <v>165</v>
      </c>
      <c r="F32" s="12">
        <v>805</v>
      </c>
      <c r="G32" s="12">
        <f>SUM(E32:F32)</f>
        <v>970</v>
      </c>
      <c r="H32" s="11">
        <f t="shared" si="6"/>
        <v>1705</v>
      </c>
      <c r="I32" s="12">
        <f t="shared" si="6"/>
        <v>3985</v>
      </c>
      <c r="J32" s="12">
        <f>SUM(H32:I32)</f>
        <v>5690</v>
      </c>
    </row>
    <row r="33" spans="1:10" ht="12.75">
      <c r="A33" s="2" t="s">
        <v>9</v>
      </c>
      <c r="B33" s="11">
        <v>61</v>
      </c>
      <c r="C33" s="12">
        <v>61</v>
      </c>
      <c r="D33" s="12">
        <f>SUM(B33:C33)</f>
        <v>122</v>
      </c>
      <c r="E33" s="13">
        <v>4</v>
      </c>
      <c r="F33" s="12">
        <v>15</v>
      </c>
      <c r="G33" s="12">
        <f>SUM(E33:F33)</f>
        <v>19</v>
      </c>
      <c r="H33" s="13">
        <f t="shared" si="6"/>
        <v>65</v>
      </c>
      <c r="I33" s="12">
        <f t="shared" si="6"/>
        <v>76</v>
      </c>
      <c r="J33" s="12">
        <f>SUM(H33:I33)</f>
        <v>141</v>
      </c>
    </row>
    <row r="34" spans="1:10" ht="12.75">
      <c r="A34" s="2" t="s">
        <v>10</v>
      </c>
      <c r="B34" s="11">
        <v>314</v>
      </c>
      <c r="C34" s="12">
        <v>530</v>
      </c>
      <c r="D34" s="12">
        <f>SUM(B34:C34)</f>
        <v>844</v>
      </c>
      <c r="E34" s="11">
        <v>26</v>
      </c>
      <c r="F34" s="12">
        <v>126</v>
      </c>
      <c r="G34" s="12">
        <f>SUM(E34:F34)</f>
        <v>152</v>
      </c>
      <c r="H34" s="11">
        <f t="shared" si="6"/>
        <v>340</v>
      </c>
      <c r="I34" s="12">
        <f t="shared" si="6"/>
        <v>656</v>
      </c>
      <c r="J34" s="12">
        <f>SUM(H34:I34)</f>
        <v>996</v>
      </c>
    </row>
    <row r="35" spans="1:10" s="17" customFormat="1" ht="12.75">
      <c r="A35" s="19" t="s">
        <v>4</v>
      </c>
      <c r="B35" s="15">
        <f aca="true" t="shared" si="7" ref="B35:J35">SUM(B31:B34)</f>
        <v>2569</v>
      </c>
      <c r="C35" s="16">
        <f t="shared" si="7"/>
        <v>5004</v>
      </c>
      <c r="D35" s="16">
        <f t="shared" si="7"/>
        <v>7573</v>
      </c>
      <c r="E35" s="15">
        <f t="shared" si="7"/>
        <v>245</v>
      </c>
      <c r="F35" s="16">
        <f t="shared" si="7"/>
        <v>1333</v>
      </c>
      <c r="G35" s="16">
        <f t="shared" si="7"/>
        <v>1578</v>
      </c>
      <c r="H35" s="15">
        <f t="shared" si="7"/>
        <v>2814</v>
      </c>
      <c r="I35" s="16">
        <f t="shared" si="7"/>
        <v>6337</v>
      </c>
      <c r="J35" s="16">
        <f t="shared" si="7"/>
        <v>9151</v>
      </c>
    </row>
    <row r="36" spans="1:10" s="17" customFormat="1" ht="12.75">
      <c r="A36" s="19"/>
      <c r="B36" s="20"/>
      <c r="C36" s="21"/>
      <c r="D36" s="21"/>
      <c r="E36" s="20"/>
      <c r="F36" s="21"/>
      <c r="G36" s="21"/>
      <c r="H36" s="20"/>
      <c r="I36" s="21"/>
      <c r="J36" s="21"/>
    </row>
    <row r="37" spans="1:10" s="17" customFormat="1" ht="12.75">
      <c r="A37" s="1" t="s">
        <v>75</v>
      </c>
      <c r="B37" s="20"/>
      <c r="C37" s="21"/>
      <c r="D37" s="21"/>
      <c r="E37" s="20"/>
      <c r="F37" s="21"/>
      <c r="G37" s="21"/>
      <c r="H37" s="20"/>
      <c r="I37" s="21"/>
      <c r="J37" s="21"/>
    </row>
    <row r="38" spans="1:10" s="17" customFormat="1" ht="12.75">
      <c r="A38" s="2" t="s">
        <v>42</v>
      </c>
      <c r="B38" s="13">
        <v>30</v>
      </c>
      <c r="C38" s="68">
        <v>165</v>
      </c>
      <c r="D38" s="68">
        <f>SUM(B38:C38)</f>
        <v>195</v>
      </c>
      <c r="E38" s="13">
        <v>0</v>
      </c>
      <c r="F38" s="68">
        <v>0</v>
      </c>
      <c r="G38" s="68">
        <f>SUM(E38:F38)</f>
        <v>0</v>
      </c>
      <c r="H38" s="13">
        <f aca="true" t="shared" si="8" ref="H38:I41">SUM(B38,E38)</f>
        <v>30</v>
      </c>
      <c r="I38" s="68">
        <f t="shared" si="8"/>
        <v>165</v>
      </c>
      <c r="J38" s="68">
        <f>SUM(H38:I38)</f>
        <v>195</v>
      </c>
    </row>
    <row r="39" spans="1:10" s="17" customFormat="1" ht="12.75">
      <c r="A39" s="2" t="s">
        <v>8</v>
      </c>
      <c r="B39" s="13">
        <v>158</v>
      </c>
      <c r="C39" s="68">
        <v>1016</v>
      </c>
      <c r="D39" s="68">
        <f>SUM(B39:C39)</f>
        <v>1174</v>
      </c>
      <c r="E39" s="13">
        <v>2</v>
      </c>
      <c r="F39" s="68">
        <v>22</v>
      </c>
      <c r="G39" s="68">
        <f>SUM(E39:F39)</f>
        <v>24</v>
      </c>
      <c r="H39" s="13">
        <f t="shared" si="8"/>
        <v>160</v>
      </c>
      <c r="I39" s="68">
        <f t="shared" si="8"/>
        <v>1038</v>
      </c>
      <c r="J39" s="68">
        <f>SUM(H39:I39)</f>
        <v>1198</v>
      </c>
    </row>
    <row r="40" spans="1:10" s="17" customFormat="1" ht="12.75">
      <c r="A40" s="2" t="s">
        <v>9</v>
      </c>
      <c r="B40" s="13">
        <v>21</v>
      </c>
      <c r="C40" s="68">
        <v>93</v>
      </c>
      <c r="D40" s="68">
        <f>SUM(B40:C40)</f>
        <v>114</v>
      </c>
      <c r="E40" s="13">
        <v>0</v>
      </c>
      <c r="F40" s="68">
        <v>0</v>
      </c>
      <c r="G40" s="68">
        <f>SUM(E40:F40)</f>
        <v>0</v>
      </c>
      <c r="H40" s="13">
        <f t="shared" si="8"/>
        <v>21</v>
      </c>
      <c r="I40" s="68">
        <f t="shared" si="8"/>
        <v>93</v>
      </c>
      <c r="J40" s="68">
        <f>SUM(H40:I40)</f>
        <v>114</v>
      </c>
    </row>
    <row r="41" spans="1:10" s="17" customFormat="1" ht="12.75">
      <c r="A41" s="2" t="s">
        <v>10</v>
      </c>
      <c r="B41" s="13">
        <v>6</v>
      </c>
      <c r="C41" s="68">
        <v>24</v>
      </c>
      <c r="D41" s="68">
        <f>SUM(B41:C41)</f>
        <v>30</v>
      </c>
      <c r="E41" s="13">
        <v>0</v>
      </c>
      <c r="F41" s="68">
        <v>0</v>
      </c>
      <c r="G41" s="68">
        <f>SUM(E41:F41)</f>
        <v>0</v>
      </c>
      <c r="H41" s="13">
        <f t="shared" si="8"/>
        <v>6</v>
      </c>
      <c r="I41" s="68">
        <f t="shared" si="8"/>
        <v>24</v>
      </c>
      <c r="J41" s="68">
        <f>SUM(H41:I41)</f>
        <v>30</v>
      </c>
    </row>
    <row r="42" spans="1:10" s="17" customFormat="1" ht="12.75">
      <c r="A42" s="19" t="s">
        <v>4</v>
      </c>
      <c r="B42" s="15">
        <f aca="true" t="shared" si="9" ref="B42:J42">SUM(B38:B41)</f>
        <v>215</v>
      </c>
      <c r="C42" s="16">
        <f t="shared" si="9"/>
        <v>1298</v>
      </c>
      <c r="D42" s="209">
        <f t="shared" si="9"/>
        <v>1513</v>
      </c>
      <c r="E42" s="15">
        <f t="shared" si="9"/>
        <v>2</v>
      </c>
      <c r="F42" s="16">
        <f t="shared" si="9"/>
        <v>22</v>
      </c>
      <c r="G42" s="209">
        <f t="shared" si="9"/>
        <v>24</v>
      </c>
      <c r="H42" s="15">
        <f t="shared" si="9"/>
        <v>217</v>
      </c>
      <c r="I42" s="16">
        <f t="shared" si="9"/>
        <v>1320</v>
      </c>
      <c r="J42" s="16">
        <f t="shared" si="9"/>
        <v>1537</v>
      </c>
    </row>
    <row r="43" spans="1:10" ht="12.75">
      <c r="A43" s="2"/>
      <c r="B43" s="11"/>
      <c r="C43" s="12"/>
      <c r="D43" s="12"/>
      <c r="E43" s="11"/>
      <c r="F43" s="12"/>
      <c r="G43" s="12"/>
      <c r="H43" s="11"/>
      <c r="I43" s="12"/>
      <c r="J43" s="12"/>
    </row>
    <row r="44" spans="1:10" ht="12.75">
      <c r="A44" s="1" t="s">
        <v>14</v>
      </c>
      <c r="B44" s="165"/>
      <c r="C44" s="166"/>
      <c r="D44" s="167"/>
      <c r="E44" s="165"/>
      <c r="F44" s="166"/>
      <c r="G44" s="167"/>
      <c r="H44" s="11"/>
      <c r="I44" s="12"/>
      <c r="J44" s="12"/>
    </row>
    <row r="45" spans="1:10" s="17" customFormat="1" ht="12.75">
      <c r="A45" s="19" t="s">
        <v>4</v>
      </c>
      <c r="B45" s="165">
        <v>3660</v>
      </c>
      <c r="C45" s="166">
        <v>4668</v>
      </c>
      <c r="D45" s="167">
        <f>SUM(B45:C45)</f>
        <v>8328</v>
      </c>
      <c r="E45" s="168">
        <v>729</v>
      </c>
      <c r="F45" s="167">
        <v>1550</v>
      </c>
      <c r="G45" s="167">
        <f>SUM(E45:F45)</f>
        <v>2279</v>
      </c>
      <c r="H45" s="20">
        <f>SUM(B45,E45)</f>
        <v>4389</v>
      </c>
      <c r="I45" s="21">
        <f>SUM(C45,F45)</f>
        <v>6218</v>
      </c>
      <c r="J45" s="21">
        <f>SUM(H45:I45)</f>
        <v>10607</v>
      </c>
    </row>
    <row r="46" spans="1:10" ht="12.75">
      <c r="A46" s="2"/>
      <c r="B46" s="11"/>
      <c r="C46" s="12"/>
      <c r="D46" s="12"/>
      <c r="E46" s="11"/>
      <c r="F46" s="12"/>
      <c r="G46" s="12"/>
      <c r="H46" s="11"/>
      <c r="I46" s="12"/>
      <c r="J46" s="12"/>
    </row>
    <row r="47" spans="1:10" s="17" customFormat="1" ht="12.75">
      <c r="A47" s="202" t="s">
        <v>50</v>
      </c>
      <c r="B47" s="20"/>
      <c r="C47" s="21"/>
      <c r="D47" s="21"/>
      <c r="E47" s="20"/>
      <c r="F47" s="21"/>
      <c r="G47" s="21"/>
      <c r="H47" s="20"/>
      <c r="I47" s="21"/>
      <c r="J47" s="21"/>
    </row>
    <row r="48" spans="1:10" s="17" customFormat="1" ht="12.75">
      <c r="A48" s="19" t="s">
        <v>4</v>
      </c>
      <c r="B48" s="20">
        <v>154</v>
      </c>
      <c r="C48" s="21">
        <v>934</v>
      </c>
      <c r="D48" s="21">
        <f>SUM(B48:C48)</f>
        <v>1088</v>
      </c>
      <c r="E48" s="20">
        <v>10</v>
      </c>
      <c r="F48" s="21">
        <v>96</v>
      </c>
      <c r="G48" s="21">
        <f>SUM(E48:F48)</f>
        <v>106</v>
      </c>
      <c r="H48" s="20">
        <f>B48+E48</f>
        <v>164</v>
      </c>
      <c r="I48" s="21">
        <f>C48+F48</f>
        <v>1030</v>
      </c>
      <c r="J48" s="21">
        <f>H48+I48</f>
        <v>1194</v>
      </c>
    </row>
    <row r="49" spans="1:10" ht="12.75">
      <c r="A49" s="2"/>
      <c r="B49" s="11"/>
      <c r="C49" s="12"/>
      <c r="D49" s="12"/>
      <c r="E49" s="11"/>
      <c r="F49" s="12"/>
      <c r="G49" s="12"/>
      <c r="H49" s="11"/>
      <c r="I49" s="12"/>
      <c r="J49" s="12"/>
    </row>
    <row r="50" spans="1:10" ht="12.75">
      <c r="A50" s="1" t="s">
        <v>46</v>
      </c>
      <c r="B50" s="11"/>
      <c r="C50" s="12"/>
      <c r="D50" s="12"/>
      <c r="E50" s="11"/>
      <c r="F50" s="12"/>
      <c r="G50" s="12"/>
      <c r="H50" s="11"/>
      <c r="I50" s="12"/>
      <c r="J50" s="12"/>
    </row>
    <row r="51" spans="1:10" ht="12.75">
      <c r="A51" s="2" t="s">
        <v>42</v>
      </c>
      <c r="B51" s="11">
        <v>687</v>
      </c>
      <c r="C51" s="12">
        <v>1274</v>
      </c>
      <c r="D51" s="12">
        <f>SUM(B51:C51)</f>
        <v>1961</v>
      </c>
      <c r="E51" s="11">
        <v>46</v>
      </c>
      <c r="F51" s="12">
        <v>209</v>
      </c>
      <c r="G51" s="12">
        <f>SUM(E51:F51)</f>
        <v>255</v>
      </c>
      <c r="H51" s="11">
        <f aca="true" t="shared" si="10" ref="H51:I54">SUM(B51,E51)</f>
        <v>733</v>
      </c>
      <c r="I51" s="12">
        <f t="shared" si="10"/>
        <v>1483</v>
      </c>
      <c r="J51" s="12">
        <f>SUM(H51:I51)</f>
        <v>2216</v>
      </c>
    </row>
    <row r="52" spans="1:10" ht="12.75">
      <c r="A52" s="2" t="s">
        <v>8</v>
      </c>
      <c r="B52" s="11">
        <v>777</v>
      </c>
      <c r="C52" s="12">
        <v>1680</v>
      </c>
      <c r="D52" s="12">
        <f>SUM(B52:C52)</f>
        <v>2457</v>
      </c>
      <c r="E52" s="11">
        <v>49</v>
      </c>
      <c r="F52" s="12">
        <v>241</v>
      </c>
      <c r="G52" s="12">
        <f>SUM(E52:F52)</f>
        <v>290</v>
      </c>
      <c r="H52" s="11">
        <f t="shared" si="10"/>
        <v>826</v>
      </c>
      <c r="I52" s="12">
        <f t="shared" si="10"/>
        <v>1921</v>
      </c>
      <c r="J52" s="12">
        <f>SUM(H52:I52)</f>
        <v>2747</v>
      </c>
    </row>
    <row r="53" spans="1:10" ht="12.75">
      <c r="A53" s="2" t="s">
        <v>9</v>
      </c>
      <c r="B53" s="11">
        <v>244</v>
      </c>
      <c r="C53" s="12">
        <v>407</v>
      </c>
      <c r="D53" s="12">
        <f>SUM(B53:C53)</f>
        <v>651</v>
      </c>
      <c r="E53" s="11">
        <v>19</v>
      </c>
      <c r="F53" s="12">
        <v>64</v>
      </c>
      <c r="G53" s="12">
        <f>SUM(E53:F53)</f>
        <v>83</v>
      </c>
      <c r="H53" s="11">
        <f t="shared" si="10"/>
        <v>263</v>
      </c>
      <c r="I53" s="12">
        <f t="shared" si="10"/>
        <v>471</v>
      </c>
      <c r="J53" s="12">
        <f>SUM(H53:I53)</f>
        <v>734</v>
      </c>
    </row>
    <row r="54" spans="1:10" ht="12.75">
      <c r="A54" s="2" t="s">
        <v>10</v>
      </c>
      <c r="B54" s="11">
        <v>255</v>
      </c>
      <c r="C54" s="12">
        <v>582</v>
      </c>
      <c r="D54" s="12">
        <f>SUM(B54:C54)</f>
        <v>837</v>
      </c>
      <c r="E54" s="11">
        <v>18</v>
      </c>
      <c r="F54" s="12">
        <v>75</v>
      </c>
      <c r="G54" s="12">
        <f>SUM(E54:F54)</f>
        <v>93</v>
      </c>
      <c r="H54" s="11">
        <f t="shared" si="10"/>
        <v>273</v>
      </c>
      <c r="I54" s="12">
        <f t="shared" si="10"/>
        <v>657</v>
      </c>
      <c r="J54" s="12">
        <f>SUM(H54:I54)</f>
        <v>930</v>
      </c>
    </row>
    <row r="55" spans="1:10" s="17" customFormat="1" ht="12.75">
      <c r="A55" s="19" t="s">
        <v>4</v>
      </c>
      <c r="B55" s="15">
        <f aca="true" t="shared" si="11" ref="B55:J55">SUM(B51:B54)</f>
        <v>1963</v>
      </c>
      <c r="C55" s="16">
        <f t="shared" si="11"/>
        <v>3943</v>
      </c>
      <c r="D55" s="16">
        <f t="shared" si="11"/>
        <v>5906</v>
      </c>
      <c r="E55" s="15">
        <f t="shared" si="11"/>
        <v>132</v>
      </c>
      <c r="F55" s="16">
        <f t="shared" si="11"/>
        <v>589</v>
      </c>
      <c r="G55" s="16">
        <f t="shared" si="11"/>
        <v>721</v>
      </c>
      <c r="H55" s="15">
        <f t="shared" si="11"/>
        <v>2095</v>
      </c>
      <c r="I55" s="16">
        <f t="shared" si="11"/>
        <v>4532</v>
      </c>
      <c r="J55" s="16">
        <f t="shared" si="11"/>
        <v>6627</v>
      </c>
    </row>
    <row r="56" spans="1:10" ht="12.75">
      <c r="A56" s="2"/>
      <c r="B56" s="11"/>
      <c r="C56" s="12"/>
      <c r="D56" s="12"/>
      <c r="E56" s="11"/>
      <c r="F56" s="12"/>
      <c r="G56" s="12"/>
      <c r="H56" s="11"/>
      <c r="I56" s="12"/>
      <c r="J56" s="12"/>
    </row>
    <row r="57" spans="1:10" ht="12.75">
      <c r="A57" s="1" t="s">
        <v>47</v>
      </c>
      <c r="B57" s="11"/>
      <c r="C57" s="12"/>
      <c r="D57" s="12"/>
      <c r="E57" s="11"/>
      <c r="F57" s="12"/>
      <c r="G57" s="12"/>
      <c r="H57" s="11"/>
      <c r="I57" s="12"/>
      <c r="J57" s="12"/>
    </row>
    <row r="58" spans="1:10" ht="12.75">
      <c r="A58" s="2" t="s">
        <v>42</v>
      </c>
      <c r="B58" s="11">
        <v>176</v>
      </c>
      <c r="C58" s="12">
        <v>173</v>
      </c>
      <c r="D58" s="12">
        <f>SUM(B58:C58)</f>
        <v>349</v>
      </c>
      <c r="E58" s="11">
        <v>2</v>
      </c>
      <c r="F58" s="12">
        <v>10</v>
      </c>
      <c r="G58" s="12">
        <f>SUM(E58:F58)</f>
        <v>12</v>
      </c>
      <c r="H58" s="11">
        <f aca="true" t="shared" si="12" ref="H58:I61">SUM(B58,E58)</f>
        <v>178</v>
      </c>
      <c r="I58" s="12">
        <f t="shared" si="12"/>
        <v>183</v>
      </c>
      <c r="J58" s="12">
        <f>SUM(H58:I58)</f>
        <v>361</v>
      </c>
    </row>
    <row r="59" spans="1:10" ht="12.75">
      <c r="A59" s="2" t="s">
        <v>8</v>
      </c>
      <c r="B59" s="11">
        <v>331</v>
      </c>
      <c r="C59" s="12">
        <v>296</v>
      </c>
      <c r="D59" s="12">
        <f>SUM(B59:C59)</f>
        <v>627</v>
      </c>
      <c r="E59" s="11">
        <v>2</v>
      </c>
      <c r="F59" s="12">
        <v>17</v>
      </c>
      <c r="G59" s="12">
        <f>SUM(E59:F59)</f>
        <v>19</v>
      </c>
      <c r="H59" s="11">
        <f t="shared" si="12"/>
        <v>333</v>
      </c>
      <c r="I59" s="12">
        <f t="shared" si="12"/>
        <v>313</v>
      </c>
      <c r="J59" s="12">
        <f>SUM(H59:I59)</f>
        <v>646</v>
      </c>
    </row>
    <row r="60" spans="1:10" ht="12.75">
      <c r="A60" s="2" t="s">
        <v>9</v>
      </c>
      <c r="B60" s="11">
        <v>66</v>
      </c>
      <c r="C60" s="12">
        <v>77</v>
      </c>
      <c r="D60" s="12">
        <f>SUM(B60:C60)</f>
        <v>143</v>
      </c>
      <c r="E60" s="11">
        <v>1</v>
      </c>
      <c r="F60" s="12">
        <v>4</v>
      </c>
      <c r="G60" s="12">
        <f>SUM(E60:F60)</f>
        <v>5</v>
      </c>
      <c r="H60" s="11">
        <f t="shared" si="12"/>
        <v>67</v>
      </c>
      <c r="I60" s="12">
        <f t="shared" si="12"/>
        <v>81</v>
      </c>
      <c r="J60" s="12">
        <f>SUM(H60:I60)</f>
        <v>148</v>
      </c>
    </row>
    <row r="61" spans="1:10" ht="12.75">
      <c r="A61" s="2" t="s">
        <v>10</v>
      </c>
      <c r="B61" s="11">
        <v>34</v>
      </c>
      <c r="C61" s="12">
        <v>43</v>
      </c>
      <c r="D61" s="12">
        <f>SUM(B61:C61)</f>
        <v>77</v>
      </c>
      <c r="E61" s="11">
        <v>0</v>
      </c>
      <c r="F61" s="12">
        <v>11</v>
      </c>
      <c r="G61" s="12">
        <f>SUM(E61:F61)</f>
        <v>11</v>
      </c>
      <c r="H61" s="11">
        <f t="shared" si="12"/>
        <v>34</v>
      </c>
      <c r="I61" s="12">
        <f t="shared" si="12"/>
        <v>54</v>
      </c>
      <c r="J61" s="12">
        <f>SUM(H61:I61)</f>
        <v>88</v>
      </c>
    </row>
    <row r="62" spans="1:10" s="17" customFormat="1" ht="12.75">
      <c r="A62" s="19" t="s">
        <v>4</v>
      </c>
      <c r="B62" s="15">
        <f aca="true" t="shared" si="13" ref="B62:J62">SUM(B58:B61)</f>
        <v>607</v>
      </c>
      <c r="C62" s="16">
        <f t="shared" si="13"/>
        <v>589</v>
      </c>
      <c r="D62" s="16">
        <f t="shared" si="13"/>
        <v>1196</v>
      </c>
      <c r="E62" s="15">
        <f t="shared" si="13"/>
        <v>5</v>
      </c>
      <c r="F62" s="16">
        <f t="shared" si="13"/>
        <v>42</v>
      </c>
      <c r="G62" s="16">
        <f t="shared" si="13"/>
        <v>47</v>
      </c>
      <c r="H62" s="15">
        <f t="shared" si="13"/>
        <v>612</v>
      </c>
      <c r="I62" s="16">
        <f t="shared" si="13"/>
        <v>631</v>
      </c>
      <c r="J62" s="16">
        <f t="shared" si="13"/>
        <v>1243</v>
      </c>
    </row>
    <row r="63" spans="1:10" s="17" customFormat="1" ht="12.75">
      <c r="A63" s="19"/>
      <c r="B63" s="20"/>
      <c r="C63" s="21"/>
      <c r="D63" s="21"/>
      <c r="E63" s="20"/>
      <c r="F63" s="21"/>
      <c r="G63" s="21"/>
      <c r="H63" s="20"/>
      <c r="I63" s="21"/>
      <c r="J63" s="21"/>
    </row>
    <row r="64" spans="1:10" ht="12.75">
      <c r="A64" s="1" t="s">
        <v>15</v>
      </c>
      <c r="B64" s="11"/>
      <c r="C64" s="12"/>
      <c r="D64" s="12"/>
      <c r="E64" s="11"/>
      <c r="F64" s="12"/>
      <c r="G64" s="12"/>
      <c r="H64" s="11"/>
      <c r="I64" s="12"/>
      <c r="J64" s="12"/>
    </row>
    <row r="65" spans="1:10" ht="12.75">
      <c r="A65" s="2" t="s">
        <v>42</v>
      </c>
      <c r="B65" s="11">
        <v>205</v>
      </c>
      <c r="C65" s="12">
        <v>271</v>
      </c>
      <c r="D65" s="12">
        <f>SUM(B65:C65)</f>
        <v>476</v>
      </c>
      <c r="E65" s="11">
        <v>16</v>
      </c>
      <c r="F65" s="12">
        <v>20</v>
      </c>
      <c r="G65" s="12">
        <f>SUM(E65:F65)</f>
        <v>36</v>
      </c>
      <c r="H65" s="11">
        <f aca="true" t="shared" si="14" ref="H65:I68">SUM(B65,E65)</f>
        <v>221</v>
      </c>
      <c r="I65" s="12">
        <f t="shared" si="14"/>
        <v>291</v>
      </c>
      <c r="J65" s="12">
        <f>SUM(H65:I65)</f>
        <v>512</v>
      </c>
    </row>
    <row r="66" spans="1:10" ht="12.75">
      <c r="A66" s="2" t="s">
        <v>8</v>
      </c>
      <c r="B66" s="11">
        <v>25</v>
      </c>
      <c r="C66" s="12">
        <v>36</v>
      </c>
      <c r="D66" s="12">
        <f>SUM(B66:C66)</f>
        <v>61</v>
      </c>
      <c r="E66" s="11">
        <v>2</v>
      </c>
      <c r="F66" s="12">
        <v>4</v>
      </c>
      <c r="G66" s="12">
        <f>SUM(E66:F66)</f>
        <v>6</v>
      </c>
      <c r="H66" s="11">
        <f t="shared" si="14"/>
        <v>27</v>
      </c>
      <c r="I66" s="12">
        <f t="shared" si="14"/>
        <v>40</v>
      </c>
      <c r="J66" s="12">
        <f>SUM(H66:I66)</f>
        <v>67</v>
      </c>
    </row>
    <row r="67" spans="1:10" ht="12.75">
      <c r="A67" s="2" t="s">
        <v>9</v>
      </c>
      <c r="B67" s="11">
        <v>0</v>
      </c>
      <c r="C67" s="12">
        <v>0</v>
      </c>
      <c r="D67" s="12">
        <f>SUM(B67:C67)</f>
        <v>0</v>
      </c>
      <c r="E67" s="11">
        <v>0</v>
      </c>
      <c r="F67" s="12">
        <v>0</v>
      </c>
      <c r="G67" s="12">
        <f>SUM(E67:F67)</f>
        <v>0</v>
      </c>
      <c r="H67" s="11">
        <f t="shared" si="14"/>
        <v>0</v>
      </c>
      <c r="I67" s="12">
        <f t="shared" si="14"/>
        <v>0</v>
      </c>
      <c r="J67" s="12">
        <f>SUM(H67:I67)</f>
        <v>0</v>
      </c>
    </row>
    <row r="68" spans="1:10" ht="12.75">
      <c r="A68" s="22" t="s">
        <v>10</v>
      </c>
      <c r="B68" s="11">
        <v>1990</v>
      </c>
      <c r="C68" s="25">
        <v>2873</v>
      </c>
      <c r="D68" s="25">
        <f>SUM(B68:C68)</f>
        <v>4863</v>
      </c>
      <c r="E68" s="11">
        <v>60</v>
      </c>
      <c r="F68" s="25">
        <v>235</v>
      </c>
      <c r="G68" s="25">
        <f>SUM(E68:F68)</f>
        <v>295</v>
      </c>
      <c r="H68" s="11">
        <f t="shared" si="14"/>
        <v>2050</v>
      </c>
      <c r="I68" s="25">
        <f t="shared" si="14"/>
        <v>3108</v>
      </c>
      <c r="J68" s="25">
        <f>SUM(H68:I68)</f>
        <v>5158</v>
      </c>
    </row>
    <row r="69" spans="1:10" s="17" customFormat="1" ht="12.75">
      <c r="A69" s="19" t="s">
        <v>4</v>
      </c>
      <c r="B69" s="15">
        <f>SUM(B65:B68)</f>
        <v>2220</v>
      </c>
      <c r="C69" s="16">
        <f>SUM(C65:C68)</f>
        <v>3180</v>
      </c>
      <c r="D69" s="16">
        <f aca="true" t="shared" si="15" ref="D69:J69">SUM(D65:D68)</f>
        <v>5400</v>
      </c>
      <c r="E69" s="15">
        <f>SUM(E65:E68)</f>
        <v>78</v>
      </c>
      <c r="F69" s="16">
        <f>SUM(F65:F68)</f>
        <v>259</v>
      </c>
      <c r="G69" s="16">
        <f t="shared" si="15"/>
        <v>337</v>
      </c>
      <c r="H69" s="15">
        <f t="shared" si="15"/>
        <v>2298</v>
      </c>
      <c r="I69" s="16">
        <f t="shared" si="15"/>
        <v>3439</v>
      </c>
      <c r="J69" s="16">
        <f t="shared" si="15"/>
        <v>5737</v>
      </c>
    </row>
    <row r="70" spans="1:10" ht="12.75">
      <c r="A70" s="2"/>
      <c r="B70" s="11"/>
      <c r="C70" s="12"/>
      <c r="D70" s="12"/>
      <c r="E70" s="11"/>
      <c r="F70" s="12"/>
      <c r="G70" s="12"/>
      <c r="H70" s="11"/>
      <c r="I70" s="12"/>
      <c r="J70" s="12"/>
    </row>
    <row r="71" spans="1:10" ht="12.75">
      <c r="A71" s="1" t="s">
        <v>41</v>
      </c>
      <c r="B71" s="11"/>
      <c r="C71" s="12"/>
      <c r="D71" s="12"/>
      <c r="E71" s="11"/>
      <c r="F71" s="12"/>
      <c r="G71" s="12"/>
      <c r="H71" s="11"/>
      <c r="I71" s="12"/>
      <c r="J71" s="12"/>
    </row>
    <row r="72" spans="1:12" ht="12.75">
      <c r="A72" s="2" t="s">
        <v>42</v>
      </c>
      <c r="B72" s="11">
        <v>0</v>
      </c>
      <c r="C72" s="12">
        <v>0</v>
      </c>
      <c r="D72" s="12">
        <f>SUM(B72:C72)</f>
        <v>0</v>
      </c>
      <c r="E72" s="11">
        <v>481</v>
      </c>
      <c r="F72" s="12">
        <v>1993</v>
      </c>
      <c r="G72" s="12">
        <f>SUM(E72:F72)</f>
        <v>2474</v>
      </c>
      <c r="H72" s="11">
        <f aca="true" t="shared" si="16" ref="H72:I76">SUM(B72,E72)</f>
        <v>481</v>
      </c>
      <c r="I72" s="12">
        <f t="shared" si="16"/>
        <v>1993</v>
      </c>
      <c r="J72" s="12">
        <f>SUM(H72:I72)</f>
        <v>2474</v>
      </c>
      <c r="K72" s="12"/>
      <c r="L72" s="12"/>
    </row>
    <row r="73" spans="1:12" ht="12.75">
      <c r="A73" s="2" t="s">
        <v>8</v>
      </c>
      <c r="B73" s="11">
        <v>0</v>
      </c>
      <c r="C73" s="12">
        <v>0</v>
      </c>
      <c r="D73" s="12">
        <f>SUM(B73:C73)</f>
        <v>0</v>
      </c>
      <c r="E73" s="11">
        <v>543</v>
      </c>
      <c r="F73" s="12">
        <v>2501</v>
      </c>
      <c r="G73" s="12">
        <f>SUM(E73:F73)</f>
        <v>3044</v>
      </c>
      <c r="H73" s="11">
        <f t="shared" si="16"/>
        <v>543</v>
      </c>
      <c r="I73" s="12">
        <f t="shared" si="16"/>
        <v>2501</v>
      </c>
      <c r="J73" s="12">
        <f>SUM(H73:I73)</f>
        <v>3044</v>
      </c>
      <c r="K73" s="12"/>
      <c r="L73" s="12"/>
    </row>
    <row r="74" spans="1:12" ht="12.75">
      <c r="A74" s="2" t="s">
        <v>9</v>
      </c>
      <c r="B74" s="11">
        <v>0</v>
      </c>
      <c r="C74" s="12">
        <v>0</v>
      </c>
      <c r="D74" s="12">
        <f>SUM(B74:C74)</f>
        <v>0</v>
      </c>
      <c r="E74" s="11">
        <v>16</v>
      </c>
      <c r="F74" s="12">
        <v>67</v>
      </c>
      <c r="G74" s="12">
        <f>SUM(E74:F74)</f>
        <v>83</v>
      </c>
      <c r="H74" s="11">
        <f t="shared" si="16"/>
        <v>16</v>
      </c>
      <c r="I74" s="12">
        <f t="shared" si="16"/>
        <v>67</v>
      </c>
      <c r="J74" s="12">
        <f>SUM(H74:I74)</f>
        <v>83</v>
      </c>
      <c r="K74" s="12"/>
      <c r="L74" s="12"/>
    </row>
    <row r="75" spans="1:10" ht="12.75">
      <c r="A75" s="22" t="s">
        <v>10</v>
      </c>
      <c r="B75" s="11">
        <v>0</v>
      </c>
      <c r="C75" s="25">
        <v>0</v>
      </c>
      <c r="D75" s="25">
        <f>SUM(B75:C75)</f>
        <v>0</v>
      </c>
      <c r="E75" s="11">
        <v>67</v>
      </c>
      <c r="F75" s="25">
        <v>251</v>
      </c>
      <c r="G75" s="25">
        <f>SUM(E75:F75)</f>
        <v>318</v>
      </c>
      <c r="H75" s="11">
        <f t="shared" si="16"/>
        <v>67</v>
      </c>
      <c r="I75" s="25">
        <f t="shared" si="16"/>
        <v>251</v>
      </c>
      <c r="J75" s="25">
        <f>SUM(H75:I75)</f>
        <v>318</v>
      </c>
    </row>
    <row r="76" spans="1:10" ht="12.75">
      <c r="A76" s="22" t="s">
        <v>16</v>
      </c>
      <c r="B76" s="11">
        <v>0</v>
      </c>
      <c r="C76" s="25">
        <v>0</v>
      </c>
      <c r="D76" s="25">
        <f>SUM(B76:C76)</f>
        <v>0</v>
      </c>
      <c r="E76" s="11">
        <v>164</v>
      </c>
      <c r="F76" s="25">
        <v>165</v>
      </c>
      <c r="G76" s="25">
        <f>SUM(E76:F76)</f>
        <v>329</v>
      </c>
      <c r="H76" s="11">
        <f t="shared" si="16"/>
        <v>164</v>
      </c>
      <c r="I76" s="25">
        <f t="shared" si="16"/>
        <v>165</v>
      </c>
      <c r="J76" s="25">
        <f>SUM(H76:I76)</f>
        <v>329</v>
      </c>
    </row>
    <row r="77" spans="1:10" s="17" customFormat="1" ht="12.75">
      <c r="A77" s="19" t="s">
        <v>4</v>
      </c>
      <c r="B77" s="15">
        <f>SUM(B72:B76)</f>
        <v>0</v>
      </c>
      <c r="C77" s="16">
        <f aca="true" t="shared" si="17" ref="C77:J77">SUM(C72:C76)</f>
        <v>0</v>
      </c>
      <c r="D77" s="16">
        <f t="shared" si="17"/>
        <v>0</v>
      </c>
      <c r="E77" s="15">
        <f t="shared" si="17"/>
        <v>1271</v>
      </c>
      <c r="F77" s="16">
        <f t="shared" si="17"/>
        <v>4977</v>
      </c>
      <c r="G77" s="16">
        <f t="shared" si="17"/>
        <v>6248</v>
      </c>
      <c r="H77" s="15">
        <f t="shared" si="17"/>
        <v>1271</v>
      </c>
      <c r="I77" s="16">
        <f t="shared" si="17"/>
        <v>4977</v>
      </c>
      <c r="J77" s="16">
        <f t="shared" si="17"/>
        <v>6248</v>
      </c>
    </row>
    <row r="78" spans="1:10" s="17" customFormat="1" ht="12.75">
      <c r="A78" s="19"/>
      <c r="B78" s="20"/>
      <c r="C78" s="21"/>
      <c r="D78" s="21"/>
      <c r="E78" s="20"/>
      <c r="F78" s="21"/>
      <c r="G78" s="21"/>
      <c r="H78" s="20"/>
      <c r="I78" s="21"/>
      <c r="J78" s="21"/>
    </row>
    <row r="79" spans="1:10" ht="27.75" customHeight="1">
      <c r="A79" s="203" t="s">
        <v>128</v>
      </c>
      <c r="B79" s="23">
        <f>SUM(B77,B69,B62,B55,B45,B42,B35,B28,B21,B14,B48)</f>
        <v>42798</v>
      </c>
      <c r="C79" s="24">
        <f aca="true" t="shared" si="18" ref="C79:J79">SUM(C77,C69,C62,C55,C45,C42,C35,C28,C21,C14,C48)</f>
        <v>112939</v>
      </c>
      <c r="D79" s="204">
        <f t="shared" si="18"/>
        <v>155737</v>
      </c>
      <c r="E79" s="23">
        <f t="shared" si="18"/>
        <v>5304</v>
      </c>
      <c r="F79" s="24">
        <f t="shared" si="18"/>
        <v>22794</v>
      </c>
      <c r="G79" s="204">
        <f t="shared" si="18"/>
        <v>28098</v>
      </c>
      <c r="H79" s="24">
        <f t="shared" si="18"/>
        <v>48102</v>
      </c>
      <c r="I79" s="24">
        <f t="shared" si="18"/>
        <v>135733</v>
      </c>
      <c r="J79" s="24">
        <f t="shared" si="18"/>
        <v>183835</v>
      </c>
    </row>
    <row r="80" spans="1:10" ht="9.75" customHeight="1">
      <c r="A80" s="22"/>
      <c r="B80" s="25"/>
      <c r="C80" s="25"/>
      <c r="D80" s="25"/>
      <c r="E80" s="25"/>
      <c r="F80" s="25"/>
      <c r="G80" s="25"/>
      <c r="H80" s="25"/>
      <c r="I80" s="25"/>
      <c r="J80" s="25"/>
    </row>
    <row r="81" spans="1:10" ht="12.75">
      <c r="A81" s="184" t="s">
        <v>64</v>
      </c>
      <c r="B81" s="12"/>
      <c r="C81" s="12"/>
      <c r="D81" s="12"/>
      <c r="E81" s="12"/>
      <c r="F81" s="12"/>
      <c r="G81" s="12"/>
      <c r="H81" s="12"/>
      <c r="I81" s="12"/>
      <c r="J81" s="12"/>
    </row>
    <row r="82" spans="1:10" ht="12.75">
      <c r="A82" s="174" t="s">
        <v>21</v>
      </c>
      <c r="B82" s="12"/>
      <c r="C82" s="12"/>
      <c r="D82" s="12"/>
      <c r="E82" s="12"/>
      <c r="F82" s="12"/>
      <c r="G82" s="12"/>
      <c r="H82" s="12"/>
      <c r="I82" s="12"/>
      <c r="J82" s="12"/>
    </row>
    <row r="83" spans="2:10" ht="12.75">
      <c r="B83" s="12"/>
      <c r="C83" s="12"/>
      <c r="D83" s="12"/>
      <c r="E83" s="12"/>
      <c r="F83" s="12"/>
      <c r="G83" s="12"/>
      <c r="H83" s="12"/>
      <c r="I83" s="12"/>
      <c r="J83" s="12"/>
    </row>
    <row r="84" spans="2:10" ht="12.75">
      <c r="B84" s="12"/>
      <c r="C84" s="12"/>
      <c r="D84" s="12"/>
      <c r="E84" s="12"/>
      <c r="F84" s="12"/>
      <c r="G84" s="12"/>
      <c r="H84" s="12"/>
      <c r="I84" s="12"/>
      <c r="J84" s="12"/>
    </row>
    <row r="85" spans="2:10" ht="12.75">
      <c r="B85" s="12"/>
      <c r="C85" s="12"/>
      <c r="D85" s="12"/>
      <c r="E85" s="12"/>
      <c r="F85" s="12"/>
      <c r="G85" s="12"/>
      <c r="H85" s="12"/>
      <c r="I85" s="12"/>
      <c r="J85" s="12"/>
    </row>
    <row r="86" spans="2:10" ht="12.75">
      <c r="B86" s="12"/>
      <c r="C86" s="12"/>
      <c r="D86" s="12"/>
      <c r="E86" s="12"/>
      <c r="F86" s="12"/>
      <c r="G86" s="12"/>
      <c r="H86" s="12"/>
      <c r="I86" s="12"/>
      <c r="J86" s="12"/>
    </row>
    <row r="87" spans="2:10" ht="12.75">
      <c r="B87" s="12"/>
      <c r="C87" s="12"/>
      <c r="D87" s="12"/>
      <c r="E87" s="12"/>
      <c r="F87" s="12"/>
      <c r="G87" s="12"/>
      <c r="H87" s="12"/>
      <c r="I87" s="12"/>
      <c r="J87" s="12"/>
    </row>
    <row r="88" spans="2:10" ht="12.75">
      <c r="B88" s="12"/>
      <c r="C88" s="12"/>
      <c r="D88" s="12"/>
      <c r="E88" s="12"/>
      <c r="F88" s="12"/>
      <c r="G88" s="12"/>
      <c r="H88" s="12"/>
      <c r="I88" s="12"/>
      <c r="J88" s="12"/>
    </row>
    <row r="89" spans="2:10" ht="12.75">
      <c r="B89" s="12"/>
      <c r="C89" s="12"/>
      <c r="D89" s="12"/>
      <c r="E89" s="12"/>
      <c r="F89" s="12"/>
      <c r="G89" s="12"/>
      <c r="H89" s="12"/>
      <c r="I89" s="12"/>
      <c r="J89" s="12"/>
    </row>
    <row r="90" spans="2:10" ht="12.75">
      <c r="B90" s="12"/>
      <c r="C90" s="12"/>
      <c r="D90" s="12"/>
      <c r="E90" s="12"/>
      <c r="F90" s="12"/>
      <c r="G90" s="12"/>
      <c r="H90" s="12"/>
      <c r="I90" s="12"/>
      <c r="J90" s="12"/>
    </row>
    <row r="91" spans="2:10" ht="12.75">
      <c r="B91" s="12"/>
      <c r="C91" s="12"/>
      <c r="D91" s="12"/>
      <c r="E91" s="12"/>
      <c r="F91" s="12"/>
      <c r="G91" s="12"/>
      <c r="H91" s="12"/>
      <c r="I91" s="12"/>
      <c r="J91" s="12"/>
    </row>
    <row r="92" spans="2:10" ht="12.75">
      <c r="B92" s="12"/>
      <c r="C92" s="12"/>
      <c r="D92" s="12"/>
      <c r="E92" s="12"/>
      <c r="F92" s="12"/>
      <c r="G92" s="12"/>
      <c r="H92" s="12"/>
      <c r="I92" s="12"/>
      <c r="J92" s="12"/>
    </row>
    <row r="93" spans="2:10" ht="12.75">
      <c r="B93" s="12"/>
      <c r="C93" s="12"/>
      <c r="D93" s="12"/>
      <c r="E93" s="12"/>
      <c r="F93" s="12"/>
      <c r="G93" s="12"/>
      <c r="H93" s="12"/>
      <c r="I93" s="12"/>
      <c r="J93" s="12"/>
    </row>
    <row r="94" spans="2:10" ht="12.75">
      <c r="B94" s="12"/>
      <c r="C94" s="12"/>
      <c r="D94" s="12"/>
      <c r="E94" s="12"/>
      <c r="F94" s="12"/>
      <c r="G94" s="12"/>
      <c r="H94" s="12"/>
      <c r="I94" s="12"/>
      <c r="J94" s="12"/>
    </row>
    <row r="95" spans="2:10" ht="12.75">
      <c r="B95" s="12"/>
      <c r="C95" s="12"/>
      <c r="D95" s="12"/>
      <c r="E95" s="12"/>
      <c r="F95" s="12"/>
      <c r="G95" s="12"/>
      <c r="H95" s="12"/>
      <c r="I95" s="12"/>
      <c r="J95" s="12"/>
    </row>
    <row r="96" spans="2:10" ht="12.75">
      <c r="B96" s="12"/>
      <c r="C96" s="12"/>
      <c r="D96" s="12"/>
      <c r="E96" s="12"/>
      <c r="F96" s="12"/>
      <c r="G96" s="12"/>
      <c r="H96" s="12"/>
      <c r="I96" s="12"/>
      <c r="J96" s="12"/>
    </row>
    <row r="97" spans="2:10" ht="12.75">
      <c r="B97" s="12"/>
      <c r="C97" s="12"/>
      <c r="D97" s="12"/>
      <c r="E97" s="12"/>
      <c r="F97" s="12"/>
      <c r="G97" s="12"/>
      <c r="H97" s="12"/>
      <c r="I97" s="12"/>
      <c r="J97" s="12"/>
    </row>
    <row r="98" spans="2:10" ht="12.75">
      <c r="B98" s="12"/>
      <c r="C98" s="12"/>
      <c r="D98" s="12"/>
      <c r="E98" s="12"/>
      <c r="F98" s="12"/>
      <c r="G98" s="12"/>
      <c r="H98" s="12"/>
      <c r="I98" s="12"/>
      <c r="J98" s="12"/>
    </row>
    <row r="99" spans="2:10" ht="12.75">
      <c r="B99" s="12"/>
      <c r="C99" s="12"/>
      <c r="D99" s="12"/>
      <c r="E99" s="12"/>
      <c r="F99" s="12"/>
      <c r="G99" s="12"/>
      <c r="H99" s="12"/>
      <c r="I99" s="12"/>
      <c r="J99" s="12"/>
    </row>
    <row r="100" spans="2:10" ht="12.75">
      <c r="B100" s="12"/>
      <c r="C100" s="12"/>
      <c r="D100" s="12"/>
      <c r="E100" s="12"/>
      <c r="F100" s="12"/>
      <c r="G100" s="12"/>
      <c r="H100" s="12"/>
      <c r="I100" s="12"/>
      <c r="J100" s="12"/>
    </row>
    <row r="101" spans="2:10" ht="12.75">
      <c r="B101" s="12"/>
      <c r="C101" s="12"/>
      <c r="D101" s="12"/>
      <c r="E101" s="12"/>
      <c r="F101" s="12"/>
      <c r="G101" s="12"/>
      <c r="H101" s="12"/>
      <c r="I101" s="12"/>
      <c r="J101" s="12"/>
    </row>
    <row r="102" spans="2:10" ht="12.75">
      <c r="B102" s="12"/>
      <c r="C102" s="12"/>
      <c r="D102" s="12"/>
      <c r="E102" s="12"/>
      <c r="F102" s="12"/>
      <c r="G102" s="12"/>
      <c r="H102" s="12"/>
      <c r="I102" s="12"/>
      <c r="J102" s="12"/>
    </row>
    <row r="103" spans="2:10" ht="12.75">
      <c r="B103" s="12"/>
      <c r="C103" s="12"/>
      <c r="D103" s="12"/>
      <c r="E103" s="12"/>
      <c r="F103" s="12"/>
      <c r="G103" s="12"/>
      <c r="H103" s="12"/>
      <c r="I103" s="12"/>
      <c r="J103" s="12"/>
    </row>
    <row r="104" spans="2:10" ht="12.75">
      <c r="B104" s="12"/>
      <c r="C104" s="12"/>
      <c r="D104" s="12"/>
      <c r="E104" s="12"/>
      <c r="F104" s="12"/>
      <c r="G104" s="12"/>
      <c r="H104" s="12"/>
      <c r="I104" s="12"/>
      <c r="J104" s="12"/>
    </row>
    <row r="105" spans="2:10" ht="12.75">
      <c r="B105" s="12"/>
      <c r="C105" s="12"/>
      <c r="D105" s="12"/>
      <c r="E105" s="12"/>
      <c r="F105" s="12"/>
      <c r="G105" s="12"/>
      <c r="H105" s="12"/>
      <c r="I105" s="12"/>
      <c r="J105" s="12"/>
    </row>
    <row r="106" spans="2:10" ht="12.75">
      <c r="B106" s="12"/>
      <c r="C106" s="12"/>
      <c r="D106" s="12"/>
      <c r="E106" s="12"/>
      <c r="F106" s="12"/>
      <c r="G106" s="12"/>
      <c r="H106" s="12"/>
      <c r="I106" s="12"/>
      <c r="J106" s="12"/>
    </row>
    <row r="107" spans="2:10" ht="12.75">
      <c r="B107" s="12"/>
      <c r="C107" s="12"/>
      <c r="D107" s="12"/>
      <c r="E107" s="12"/>
      <c r="F107" s="12"/>
      <c r="G107" s="12"/>
      <c r="H107" s="12"/>
      <c r="I107" s="12"/>
      <c r="J107" s="12"/>
    </row>
    <row r="108" spans="2:10" ht="12.75">
      <c r="B108" s="12"/>
      <c r="C108" s="12"/>
      <c r="D108" s="12"/>
      <c r="E108" s="12"/>
      <c r="F108" s="12"/>
      <c r="G108" s="12"/>
      <c r="H108" s="12"/>
      <c r="I108" s="12"/>
      <c r="J108" s="12"/>
    </row>
    <row r="109" spans="2:10" ht="12.75">
      <c r="B109" s="12"/>
      <c r="C109" s="12"/>
      <c r="D109" s="12"/>
      <c r="E109" s="12"/>
      <c r="F109" s="12"/>
      <c r="G109" s="12"/>
      <c r="H109" s="12"/>
      <c r="I109" s="12"/>
      <c r="J109" s="12"/>
    </row>
    <row r="110" spans="2:10" ht="12.75">
      <c r="B110" s="12"/>
      <c r="C110" s="12"/>
      <c r="D110" s="12"/>
      <c r="E110" s="12"/>
      <c r="F110" s="12"/>
      <c r="G110" s="12"/>
      <c r="H110" s="12"/>
      <c r="I110" s="12"/>
      <c r="J110" s="12"/>
    </row>
    <row r="111" spans="2:10" ht="12.75">
      <c r="B111" s="12"/>
      <c r="C111" s="12"/>
      <c r="D111" s="12"/>
      <c r="E111" s="12"/>
      <c r="F111" s="12"/>
      <c r="G111" s="12"/>
      <c r="H111" s="12"/>
      <c r="I111" s="12"/>
      <c r="J111" s="12"/>
    </row>
  </sheetData>
  <sheetProtection/>
  <printOptions horizontalCentered="1"/>
  <pageMargins left="0.1968503937007874" right="0.1968503937007874" top="0.5905511811023623" bottom="0.3937007874015748" header="0.5118110236220472" footer="0.5118110236220472"/>
  <pageSetup horizontalDpi="600" verticalDpi="600" orientation="portrait" paperSize="9" scale="72"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53" sqref="A53"/>
    </sheetView>
  </sheetViews>
  <sheetFormatPr defaultColWidth="9.140625" defaultRowHeight="12.75"/>
  <cols>
    <col min="1" max="1" width="24.8515625" style="0" customWidth="1"/>
    <col min="2" max="2" width="10.28125" style="0" customWidth="1"/>
    <col min="3" max="3" width="13.00390625" style="0" customWidth="1"/>
    <col min="4" max="4" width="10.7109375" style="0" customWidth="1"/>
    <col min="5" max="5" width="9.28125" style="0" bestFit="1" customWidth="1"/>
    <col min="6" max="6" width="10.7109375" style="0" customWidth="1"/>
    <col min="7" max="7" width="11.00390625" style="0" customWidth="1"/>
    <col min="8" max="8" width="9.7109375" style="0" bestFit="1" customWidth="1"/>
    <col min="9" max="9" width="10.28125" style="0" customWidth="1"/>
    <col min="10" max="10" width="12.00390625" style="0" customWidth="1"/>
  </cols>
  <sheetData>
    <row r="1" spans="1:10" ht="12.75">
      <c r="A1" s="1" t="s">
        <v>122</v>
      </c>
      <c r="B1" s="2"/>
      <c r="C1" s="2"/>
      <c r="D1" s="2"/>
      <c r="E1" s="2"/>
      <c r="F1" s="2"/>
      <c r="G1" s="2"/>
      <c r="H1" s="2"/>
      <c r="I1" s="2"/>
      <c r="J1" s="2"/>
    </row>
    <row r="2" spans="1:10" ht="12.75">
      <c r="A2" s="5" t="s">
        <v>23</v>
      </c>
      <c r="B2" s="6"/>
      <c r="C2" s="6"/>
      <c r="D2" s="6"/>
      <c r="E2" s="7"/>
      <c r="F2" s="7"/>
      <c r="G2" s="6"/>
      <c r="H2" s="6"/>
      <c r="I2" s="6"/>
      <c r="J2" s="6"/>
    </row>
    <row r="3" spans="1:10" ht="12.75">
      <c r="A3" s="6"/>
      <c r="B3" s="6"/>
      <c r="C3" s="6"/>
      <c r="D3" s="6"/>
      <c r="E3" s="7"/>
      <c r="F3" s="5"/>
      <c r="G3" s="6"/>
      <c r="H3" s="6"/>
      <c r="I3" s="6"/>
      <c r="J3" s="6"/>
    </row>
    <row r="4" spans="1:10" ht="12.75">
      <c r="A4" s="5" t="s">
        <v>129</v>
      </c>
      <c r="B4" s="6"/>
      <c r="C4" s="6"/>
      <c r="D4" s="6"/>
      <c r="E4" s="7"/>
      <c r="F4" s="7"/>
      <c r="G4" s="6"/>
      <c r="H4" s="6"/>
      <c r="I4" s="6"/>
      <c r="J4" s="6"/>
    </row>
    <row r="5" spans="1:10" ht="12.75">
      <c r="A5" s="4"/>
      <c r="B5" s="4"/>
      <c r="C5" s="4"/>
      <c r="D5" s="4"/>
      <c r="E5" s="4"/>
      <c r="F5" s="4"/>
      <c r="G5" s="4"/>
      <c r="H5" s="4"/>
      <c r="I5" s="4"/>
      <c r="J5" s="4"/>
    </row>
    <row r="6" spans="1:10" ht="12.75">
      <c r="A6" s="5" t="s">
        <v>130</v>
      </c>
      <c r="B6" s="59"/>
      <c r="C6" s="59"/>
      <c r="D6" s="59"/>
      <c r="E6" s="59"/>
      <c r="F6" s="60"/>
      <c r="G6" s="59"/>
      <c r="H6" s="59"/>
      <c r="I6" s="59"/>
      <c r="J6" s="59"/>
    </row>
    <row r="7" spans="1:10" ht="13.5" thickBot="1">
      <c r="A7" s="2"/>
      <c r="B7" s="12"/>
      <c r="C7" s="12"/>
      <c r="D7" s="12"/>
      <c r="E7" s="12"/>
      <c r="F7" s="12"/>
      <c r="G7" s="12"/>
      <c r="H7" s="12"/>
      <c r="I7" s="12"/>
      <c r="J7" s="12"/>
    </row>
    <row r="8" spans="1:10" ht="12.75">
      <c r="A8" s="61"/>
      <c r="B8" s="62" t="s">
        <v>24</v>
      </c>
      <c r="C8" s="63"/>
      <c r="D8" s="63"/>
      <c r="E8" s="62" t="s">
        <v>25</v>
      </c>
      <c r="F8" s="63"/>
      <c r="G8" s="63"/>
      <c r="H8" s="62" t="s">
        <v>4</v>
      </c>
      <c r="I8" s="63"/>
      <c r="J8" s="63"/>
    </row>
    <row r="9" spans="1:10" ht="12.75">
      <c r="A9" s="197" t="s">
        <v>26</v>
      </c>
      <c r="B9" s="157" t="s">
        <v>5</v>
      </c>
      <c r="C9" s="158" t="s">
        <v>6</v>
      </c>
      <c r="D9" s="158" t="s">
        <v>4</v>
      </c>
      <c r="E9" s="157" t="s">
        <v>5</v>
      </c>
      <c r="F9" s="158" t="s">
        <v>6</v>
      </c>
      <c r="G9" s="158" t="s">
        <v>4</v>
      </c>
      <c r="H9" s="157" t="s">
        <v>5</v>
      </c>
      <c r="I9" s="158" t="s">
        <v>6</v>
      </c>
      <c r="J9" s="158" t="s">
        <v>4</v>
      </c>
    </row>
    <row r="10" spans="1:10" ht="12.75">
      <c r="A10" s="67"/>
      <c r="B10" s="13"/>
      <c r="C10" s="68"/>
      <c r="D10" s="68"/>
      <c r="E10" s="13"/>
      <c r="F10" s="68"/>
      <c r="G10" s="68"/>
      <c r="H10" s="13"/>
      <c r="I10" s="68"/>
      <c r="J10" s="68"/>
    </row>
    <row r="11" spans="1:10" ht="12.75">
      <c r="A11" s="2" t="s">
        <v>27</v>
      </c>
      <c r="B11" s="11">
        <f>0</f>
        <v>0</v>
      </c>
      <c r="C11" s="12">
        <v>1</v>
      </c>
      <c r="D11" s="12">
        <f>SUM(B11:C11)</f>
        <v>1</v>
      </c>
      <c r="E11" s="11">
        <v>837</v>
      </c>
      <c r="F11" s="12">
        <v>4469</v>
      </c>
      <c r="G11" s="12">
        <f aca="true" t="shared" si="0" ref="G11:G19">SUM(E11:F11)</f>
        <v>5306</v>
      </c>
      <c r="H11" s="11">
        <f>SUM(B11,E11)</f>
        <v>837</v>
      </c>
      <c r="I11" s="25">
        <f aca="true" t="shared" si="1" ref="I11:I19">SUM(C11,F11)</f>
        <v>4470</v>
      </c>
      <c r="J11" s="12">
        <f aca="true" t="shared" si="2" ref="J11:J19">SUM(H11:I11)</f>
        <v>5307</v>
      </c>
    </row>
    <row r="12" spans="1:10" ht="12.75">
      <c r="A12" s="2" t="s">
        <v>28</v>
      </c>
      <c r="B12" s="11">
        <v>606</v>
      </c>
      <c r="C12" s="12">
        <v>3004</v>
      </c>
      <c r="D12" s="12">
        <f aca="true" t="shared" si="3" ref="D12:D19">SUM(B12:C12)</f>
        <v>3610</v>
      </c>
      <c r="E12" s="11">
        <v>3421</v>
      </c>
      <c r="F12" s="12">
        <v>11784</v>
      </c>
      <c r="G12" s="12">
        <f t="shared" si="0"/>
        <v>15205</v>
      </c>
      <c r="H12" s="11">
        <f aca="true" t="shared" si="4" ref="H12:H19">SUM(B12,E12)</f>
        <v>4027</v>
      </c>
      <c r="I12" s="25">
        <f t="shared" si="1"/>
        <v>14788</v>
      </c>
      <c r="J12" s="12">
        <f t="shared" si="2"/>
        <v>18815</v>
      </c>
    </row>
    <row r="13" spans="1:10" ht="12.75">
      <c r="A13" s="2" t="s">
        <v>29</v>
      </c>
      <c r="B13" s="11">
        <v>2944</v>
      </c>
      <c r="C13" s="12">
        <v>11064</v>
      </c>
      <c r="D13" s="12">
        <f t="shared" si="3"/>
        <v>14008</v>
      </c>
      <c r="E13" s="11">
        <v>2348</v>
      </c>
      <c r="F13" s="12">
        <f>6183+1</f>
        <v>6184</v>
      </c>
      <c r="G13" s="12">
        <f t="shared" si="0"/>
        <v>8532</v>
      </c>
      <c r="H13" s="11">
        <f t="shared" si="4"/>
        <v>5292</v>
      </c>
      <c r="I13" s="25">
        <f t="shared" si="1"/>
        <v>17248</v>
      </c>
      <c r="J13" s="12">
        <f t="shared" si="2"/>
        <v>22540</v>
      </c>
    </row>
    <row r="14" spans="1:10" ht="12.75">
      <c r="A14" s="2" t="s">
        <v>30</v>
      </c>
      <c r="B14" s="13">
        <v>4576</v>
      </c>
      <c r="C14" s="12">
        <v>13940</v>
      </c>
      <c r="D14" s="12">
        <f t="shared" si="3"/>
        <v>18516</v>
      </c>
      <c r="E14" s="11">
        <v>1659</v>
      </c>
      <c r="F14" s="12">
        <v>3661</v>
      </c>
      <c r="G14" s="12">
        <f t="shared" si="0"/>
        <v>5320</v>
      </c>
      <c r="H14" s="11">
        <f t="shared" si="4"/>
        <v>6235</v>
      </c>
      <c r="I14" s="25">
        <f t="shared" si="1"/>
        <v>17601</v>
      </c>
      <c r="J14" s="12">
        <f t="shared" si="2"/>
        <v>23836</v>
      </c>
    </row>
    <row r="15" spans="1:10" ht="12.75">
      <c r="A15" s="2" t="s">
        <v>31</v>
      </c>
      <c r="B15" s="13">
        <f>4086+1</f>
        <v>4087</v>
      </c>
      <c r="C15" s="12">
        <v>12615</v>
      </c>
      <c r="D15" s="12">
        <f t="shared" si="3"/>
        <v>16702</v>
      </c>
      <c r="E15" s="11">
        <v>1106</v>
      </c>
      <c r="F15" s="12">
        <v>2102</v>
      </c>
      <c r="G15" s="12">
        <f t="shared" si="0"/>
        <v>3208</v>
      </c>
      <c r="H15" s="11">
        <f t="shared" si="4"/>
        <v>5193</v>
      </c>
      <c r="I15" s="25">
        <f t="shared" si="1"/>
        <v>14717</v>
      </c>
      <c r="J15" s="12">
        <f t="shared" si="2"/>
        <v>19910</v>
      </c>
    </row>
    <row r="16" spans="1:10" ht="12.75">
      <c r="A16" s="2" t="s">
        <v>32</v>
      </c>
      <c r="B16" s="13">
        <f>4285+2</f>
        <v>4287</v>
      </c>
      <c r="C16" s="12">
        <v>12159</v>
      </c>
      <c r="D16" s="12">
        <f t="shared" si="3"/>
        <v>16446</v>
      </c>
      <c r="E16" s="11">
        <v>924</v>
      </c>
      <c r="F16" s="12">
        <v>1486</v>
      </c>
      <c r="G16" s="12">
        <f t="shared" si="0"/>
        <v>2410</v>
      </c>
      <c r="H16" s="11">
        <f t="shared" si="4"/>
        <v>5211</v>
      </c>
      <c r="I16" s="25">
        <f t="shared" si="1"/>
        <v>13645</v>
      </c>
      <c r="J16" s="12">
        <f t="shared" si="2"/>
        <v>18856</v>
      </c>
    </row>
    <row r="17" spans="1:10" ht="12.75">
      <c r="A17" s="2" t="s">
        <v>33</v>
      </c>
      <c r="B17" s="13">
        <v>5258</v>
      </c>
      <c r="C17" s="12">
        <f>13567+1</f>
        <v>13568</v>
      </c>
      <c r="D17" s="12">
        <f t="shared" si="3"/>
        <v>18826</v>
      </c>
      <c r="E17" s="11">
        <v>802</v>
      </c>
      <c r="F17" s="12">
        <v>994</v>
      </c>
      <c r="G17" s="12">
        <f t="shared" si="0"/>
        <v>1796</v>
      </c>
      <c r="H17" s="11">
        <f t="shared" si="4"/>
        <v>6060</v>
      </c>
      <c r="I17" s="25">
        <f t="shared" si="1"/>
        <v>14562</v>
      </c>
      <c r="J17" s="12">
        <f t="shared" si="2"/>
        <v>20622</v>
      </c>
    </row>
    <row r="18" spans="1:10" ht="12.75">
      <c r="A18" s="2" t="s">
        <v>34</v>
      </c>
      <c r="B18" s="13">
        <f>6369+6</f>
        <v>6375</v>
      </c>
      <c r="C18" s="12">
        <f>11913+7</f>
        <v>11920</v>
      </c>
      <c r="D18" s="12">
        <f t="shared" si="3"/>
        <v>18295</v>
      </c>
      <c r="E18" s="11">
        <v>545</v>
      </c>
      <c r="F18" s="12">
        <v>502</v>
      </c>
      <c r="G18" s="12">
        <f t="shared" si="0"/>
        <v>1047</v>
      </c>
      <c r="H18" s="11">
        <f t="shared" si="4"/>
        <v>6920</v>
      </c>
      <c r="I18" s="25">
        <f t="shared" si="1"/>
        <v>12422</v>
      </c>
      <c r="J18" s="12">
        <f t="shared" si="2"/>
        <v>19342</v>
      </c>
    </row>
    <row r="19" spans="1:13" ht="12.75">
      <c r="A19" s="2" t="s">
        <v>35</v>
      </c>
      <c r="B19" s="13">
        <f>2486+113+32</f>
        <v>2631</v>
      </c>
      <c r="C19" s="12">
        <f>3085+79+46+2</f>
        <v>3212</v>
      </c>
      <c r="D19" s="69">
        <f t="shared" si="3"/>
        <v>5843</v>
      </c>
      <c r="E19" s="11">
        <f>256+136</f>
        <v>392</v>
      </c>
      <c r="F19" s="12">
        <f>202+72</f>
        <v>274</v>
      </c>
      <c r="G19" s="69">
        <f t="shared" si="0"/>
        <v>666</v>
      </c>
      <c r="H19" s="11">
        <f t="shared" si="4"/>
        <v>3023</v>
      </c>
      <c r="I19" s="69">
        <f t="shared" si="1"/>
        <v>3486</v>
      </c>
      <c r="J19" s="69">
        <f t="shared" si="2"/>
        <v>6509</v>
      </c>
      <c r="L19" s="194"/>
      <c r="M19" s="194"/>
    </row>
    <row r="20" spans="1:10" ht="12.75">
      <c r="A20" s="19" t="s">
        <v>4</v>
      </c>
      <c r="B20" s="70">
        <f aca="true" t="shared" si="5" ref="B20:J20">SUM(B11:B19)</f>
        <v>30764</v>
      </c>
      <c r="C20" s="71">
        <f t="shared" si="5"/>
        <v>81483</v>
      </c>
      <c r="D20" s="71">
        <f t="shared" si="5"/>
        <v>112247</v>
      </c>
      <c r="E20" s="70">
        <f t="shared" si="5"/>
        <v>12034</v>
      </c>
      <c r="F20" s="71">
        <f t="shared" si="5"/>
        <v>31456</v>
      </c>
      <c r="G20" s="71">
        <f t="shared" si="5"/>
        <v>43490</v>
      </c>
      <c r="H20" s="70">
        <f t="shared" si="5"/>
        <v>42798</v>
      </c>
      <c r="I20" s="71">
        <f t="shared" si="5"/>
        <v>112939</v>
      </c>
      <c r="J20" s="71">
        <f t="shared" si="5"/>
        <v>155737</v>
      </c>
    </row>
    <row r="23" spans="1:10" ht="12.75">
      <c r="A23" s="1" t="s">
        <v>122</v>
      </c>
      <c r="B23" s="2"/>
      <c r="C23" s="2"/>
      <c r="D23" s="2"/>
      <c r="E23" s="2"/>
      <c r="F23" s="2"/>
      <c r="G23" s="2"/>
      <c r="H23" s="2"/>
      <c r="I23" s="2"/>
      <c r="J23" s="2"/>
    </row>
    <row r="24" spans="1:10" ht="12.75">
      <c r="A24" s="5" t="s">
        <v>143</v>
      </c>
      <c r="B24" s="6"/>
      <c r="C24" s="6"/>
      <c r="D24" s="6"/>
      <c r="E24" s="7"/>
      <c r="F24" s="7"/>
      <c r="G24" s="6"/>
      <c r="H24" s="6"/>
      <c r="I24" s="6"/>
      <c r="J24" s="6"/>
    </row>
    <row r="25" spans="1:10" ht="12.75">
      <c r="A25" s="6"/>
      <c r="B25" s="6"/>
      <c r="C25" s="6"/>
      <c r="D25" s="6"/>
      <c r="E25" s="7"/>
      <c r="F25" s="5"/>
      <c r="G25" s="6"/>
      <c r="H25" s="6"/>
      <c r="I25" s="6"/>
      <c r="J25" s="6"/>
    </row>
    <row r="26" spans="1:10" ht="12.75">
      <c r="A26" s="5" t="s">
        <v>129</v>
      </c>
      <c r="B26" s="6"/>
      <c r="C26" s="6"/>
      <c r="D26" s="6"/>
      <c r="E26" s="7"/>
      <c r="F26" s="7"/>
      <c r="G26" s="6"/>
      <c r="H26" s="6"/>
      <c r="I26" s="6"/>
      <c r="J26" s="6"/>
    </row>
    <row r="27" spans="1:10" ht="12.75">
      <c r="A27" s="4"/>
      <c r="B27" s="4"/>
      <c r="C27" s="4"/>
      <c r="D27" s="4"/>
      <c r="E27" s="4"/>
      <c r="F27" s="4"/>
      <c r="G27" s="4"/>
      <c r="H27" s="4"/>
      <c r="I27" s="4"/>
      <c r="J27" s="4"/>
    </row>
    <row r="28" spans="1:10" ht="12.75">
      <c r="A28" s="5" t="s">
        <v>130</v>
      </c>
      <c r="B28" s="59"/>
      <c r="C28" s="59"/>
      <c r="D28" s="59"/>
      <c r="E28" s="59"/>
      <c r="F28" s="60"/>
      <c r="G28" s="59"/>
      <c r="H28" s="59"/>
      <c r="I28" s="59"/>
      <c r="J28" s="59"/>
    </row>
    <row r="29" spans="1:10" ht="13.5" thickBot="1">
      <c r="A29" s="2"/>
      <c r="B29" s="12"/>
      <c r="C29" s="12"/>
      <c r="D29" s="12"/>
      <c r="E29" s="12"/>
      <c r="F29" s="12"/>
      <c r="G29" s="12"/>
      <c r="H29" s="12"/>
      <c r="I29" s="12"/>
      <c r="J29" s="12"/>
    </row>
    <row r="30" spans="1:10" ht="12.75">
      <c r="A30" s="61"/>
      <c r="B30" s="62" t="s">
        <v>24</v>
      </c>
      <c r="C30" s="63"/>
      <c r="D30" s="63"/>
      <c r="E30" s="62" t="s">
        <v>25</v>
      </c>
      <c r="F30" s="63"/>
      <c r="G30" s="63"/>
      <c r="H30" s="62" t="s">
        <v>4</v>
      </c>
      <c r="I30" s="63"/>
      <c r="J30" s="63"/>
    </row>
    <row r="31" spans="1:10" ht="12.75">
      <c r="A31" s="197" t="s">
        <v>26</v>
      </c>
      <c r="B31" s="157" t="s">
        <v>5</v>
      </c>
      <c r="C31" s="158" t="s">
        <v>6</v>
      </c>
      <c r="D31" s="158" t="s">
        <v>4</v>
      </c>
      <c r="E31" s="157" t="s">
        <v>5</v>
      </c>
      <c r="F31" s="158" t="s">
        <v>6</v>
      </c>
      <c r="G31" s="158" t="s">
        <v>4</v>
      </c>
      <c r="H31" s="157" t="s">
        <v>5</v>
      </c>
      <c r="I31" s="158" t="s">
        <v>6</v>
      </c>
      <c r="J31" s="158" t="s">
        <v>4</v>
      </c>
    </row>
    <row r="32" spans="1:10" ht="12.75">
      <c r="A32" s="67"/>
      <c r="B32" s="13"/>
      <c r="C32" s="68"/>
      <c r="D32" s="68"/>
      <c r="E32" s="13"/>
      <c r="F32" s="68"/>
      <c r="G32" s="68"/>
      <c r="H32" s="13"/>
      <c r="I32" s="68"/>
      <c r="J32" s="68"/>
    </row>
    <row r="33" spans="1:10" ht="12.75">
      <c r="A33" s="22" t="s">
        <v>157</v>
      </c>
      <c r="B33" s="11">
        <f>1023+4</f>
        <v>1027</v>
      </c>
      <c r="C33" s="12">
        <f>1204+2</f>
        <v>1206</v>
      </c>
      <c r="D33" s="12">
        <f>SUM(B33:C33)</f>
        <v>2233</v>
      </c>
      <c r="E33" s="11">
        <v>51</v>
      </c>
      <c r="F33" s="12">
        <v>42</v>
      </c>
      <c r="G33" s="12">
        <f aca="true" t="shared" si="6" ref="G33:G42">SUM(E33:F33)</f>
        <v>93</v>
      </c>
      <c r="H33" s="11">
        <f>SUM(B33,E33)</f>
        <v>1078</v>
      </c>
      <c r="I33" s="25">
        <f aca="true" t="shared" si="7" ref="I33:I42">SUM(C33,F33)</f>
        <v>1248</v>
      </c>
      <c r="J33" s="12">
        <f aca="true" t="shared" si="8" ref="J33:J42">SUM(H33:I33)</f>
        <v>2326</v>
      </c>
    </row>
    <row r="34" spans="1:10" ht="12.75">
      <c r="A34" s="22" t="s">
        <v>158</v>
      </c>
      <c r="B34" s="11">
        <f>483+1</f>
        <v>484</v>
      </c>
      <c r="C34" s="12">
        <f>460+1</f>
        <v>461</v>
      </c>
      <c r="D34" s="12">
        <f aca="true" t="shared" si="9" ref="D34:D42">SUM(B34:C34)</f>
        <v>945</v>
      </c>
      <c r="E34" s="11">
        <v>75</v>
      </c>
      <c r="F34" s="12">
        <v>62</v>
      </c>
      <c r="G34" s="12">
        <f t="shared" si="6"/>
        <v>137</v>
      </c>
      <c r="H34" s="11">
        <f aca="true" t="shared" si="10" ref="H34:H42">SUM(B34,E34)</f>
        <v>559</v>
      </c>
      <c r="I34" s="25">
        <f t="shared" si="7"/>
        <v>523</v>
      </c>
      <c r="J34" s="12">
        <f t="shared" si="8"/>
        <v>1082</v>
      </c>
    </row>
    <row r="35" spans="1:10" ht="12.75">
      <c r="A35" s="22" t="s">
        <v>159</v>
      </c>
      <c r="B35" s="11">
        <f>298+1</f>
        <v>299</v>
      </c>
      <c r="C35" s="12">
        <f>244+1</f>
        <v>245</v>
      </c>
      <c r="D35" s="12">
        <f t="shared" si="9"/>
        <v>544</v>
      </c>
      <c r="E35" s="11">
        <v>48</v>
      </c>
      <c r="F35" s="12">
        <v>41</v>
      </c>
      <c r="G35" s="12">
        <f t="shared" si="6"/>
        <v>89</v>
      </c>
      <c r="H35" s="11">
        <f t="shared" si="10"/>
        <v>347</v>
      </c>
      <c r="I35" s="25">
        <f t="shared" si="7"/>
        <v>286</v>
      </c>
      <c r="J35" s="12">
        <f t="shared" si="8"/>
        <v>633</v>
      </c>
    </row>
    <row r="36" spans="1:10" ht="12.75">
      <c r="A36" s="22" t="s">
        <v>160</v>
      </c>
      <c r="B36" s="13">
        <v>214</v>
      </c>
      <c r="C36" s="12">
        <v>152</v>
      </c>
      <c r="D36" s="12">
        <f t="shared" si="9"/>
        <v>366</v>
      </c>
      <c r="E36" s="11">
        <v>48</v>
      </c>
      <c r="F36" s="12">
        <v>32</v>
      </c>
      <c r="G36" s="12">
        <f t="shared" si="6"/>
        <v>80</v>
      </c>
      <c r="H36" s="11">
        <f t="shared" si="10"/>
        <v>262</v>
      </c>
      <c r="I36" s="25">
        <f t="shared" si="7"/>
        <v>184</v>
      </c>
      <c r="J36" s="12">
        <f t="shared" si="8"/>
        <v>446</v>
      </c>
    </row>
    <row r="37" spans="1:10" ht="12.75">
      <c r="A37" s="22" t="s">
        <v>161</v>
      </c>
      <c r="B37" s="13">
        <f>137+1</f>
        <v>138</v>
      </c>
      <c r="C37" s="12">
        <v>91</v>
      </c>
      <c r="D37" s="12">
        <f t="shared" si="9"/>
        <v>229</v>
      </c>
      <c r="E37" s="11">
        <v>34</v>
      </c>
      <c r="F37" s="12">
        <v>25</v>
      </c>
      <c r="G37" s="12">
        <f t="shared" si="6"/>
        <v>59</v>
      </c>
      <c r="H37" s="11">
        <f t="shared" si="10"/>
        <v>172</v>
      </c>
      <c r="I37" s="25">
        <f t="shared" si="7"/>
        <v>116</v>
      </c>
      <c r="J37" s="12">
        <f t="shared" si="8"/>
        <v>288</v>
      </c>
    </row>
    <row r="38" spans="1:10" ht="12.75">
      <c r="A38" s="22" t="s">
        <v>162</v>
      </c>
      <c r="B38" s="13">
        <v>91</v>
      </c>
      <c r="C38" s="12">
        <f>65+1</f>
        <v>66</v>
      </c>
      <c r="D38" s="12">
        <f t="shared" si="9"/>
        <v>157</v>
      </c>
      <c r="E38" s="11">
        <v>33</v>
      </c>
      <c r="F38" s="12">
        <v>20</v>
      </c>
      <c r="G38" s="12">
        <f t="shared" si="6"/>
        <v>53</v>
      </c>
      <c r="H38" s="11">
        <f t="shared" si="10"/>
        <v>124</v>
      </c>
      <c r="I38" s="25">
        <f t="shared" si="7"/>
        <v>86</v>
      </c>
      <c r="J38" s="12">
        <f t="shared" si="8"/>
        <v>210</v>
      </c>
    </row>
    <row r="39" spans="1:10" ht="12.75">
      <c r="A39" s="22" t="s">
        <v>163</v>
      </c>
      <c r="B39" s="13">
        <v>18</v>
      </c>
      <c r="C39" s="12">
        <v>13</v>
      </c>
      <c r="D39" s="12">
        <f t="shared" si="9"/>
        <v>31</v>
      </c>
      <c r="E39" s="11">
        <v>25</v>
      </c>
      <c r="F39" s="12">
        <v>18</v>
      </c>
      <c r="G39" s="12">
        <f t="shared" si="6"/>
        <v>43</v>
      </c>
      <c r="H39" s="11">
        <f t="shared" si="10"/>
        <v>43</v>
      </c>
      <c r="I39" s="25">
        <f t="shared" si="7"/>
        <v>31</v>
      </c>
      <c r="J39" s="12">
        <f t="shared" si="8"/>
        <v>74</v>
      </c>
    </row>
    <row r="40" spans="1:10" ht="12.75">
      <c r="A40" s="22" t="s">
        <v>164</v>
      </c>
      <c r="B40" s="13">
        <v>2</v>
      </c>
      <c r="C40" s="12">
        <v>0</v>
      </c>
      <c r="D40" s="12">
        <f t="shared" si="9"/>
        <v>2</v>
      </c>
      <c r="E40" s="11">
        <v>18</v>
      </c>
      <c r="F40" s="12">
        <v>13</v>
      </c>
      <c r="G40" s="12">
        <f t="shared" si="6"/>
        <v>31</v>
      </c>
      <c r="H40" s="11">
        <f t="shared" si="10"/>
        <v>20</v>
      </c>
      <c r="I40" s="25">
        <f t="shared" si="7"/>
        <v>13</v>
      </c>
      <c r="J40" s="12">
        <f t="shared" si="8"/>
        <v>33</v>
      </c>
    </row>
    <row r="41" spans="1:10" ht="12.75">
      <c r="A41" s="2" t="s">
        <v>165</v>
      </c>
      <c r="B41" s="13">
        <v>2</v>
      </c>
      <c r="C41" s="12">
        <v>1</v>
      </c>
      <c r="D41" s="25">
        <f t="shared" si="9"/>
        <v>3</v>
      </c>
      <c r="E41" s="11">
        <v>60</v>
      </c>
      <c r="F41" s="12">
        <v>21</v>
      </c>
      <c r="G41" s="25">
        <f t="shared" si="6"/>
        <v>81</v>
      </c>
      <c r="H41" s="11">
        <f t="shared" si="10"/>
        <v>62</v>
      </c>
      <c r="I41" s="25">
        <f t="shared" si="7"/>
        <v>22</v>
      </c>
      <c r="J41" s="25">
        <f t="shared" si="8"/>
        <v>84</v>
      </c>
    </row>
    <row r="42" spans="1:12" ht="12.75">
      <c r="A42" s="2" t="s">
        <v>166</v>
      </c>
      <c r="B42" s="13">
        <f>25+331</f>
        <v>356</v>
      </c>
      <c r="C42" s="12">
        <f>43+934</f>
        <v>977</v>
      </c>
      <c r="D42" s="190">
        <f t="shared" si="9"/>
        <v>1333</v>
      </c>
      <c r="E42" s="11">
        <v>0</v>
      </c>
      <c r="F42" s="12">
        <v>0</v>
      </c>
      <c r="G42" s="190">
        <f t="shared" si="6"/>
        <v>0</v>
      </c>
      <c r="H42" s="11">
        <f t="shared" si="10"/>
        <v>356</v>
      </c>
      <c r="I42" s="69">
        <f t="shared" si="7"/>
        <v>977</v>
      </c>
      <c r="J42" s="69">
        <f t="shared" si="8"/>
        <v>1333</v>
      </c>
      <c r="L42" s="194"/>
    </row>
    <row r="43" spans="1:10" ht="12.75">
      <c r="A43" s="19" t="s">
        <v>4</v>
      </c>
      <c r="B43" s="70">
        <f aca="true" t="shared" si="11" ref="B43:J43">SUM(B33:B42)</f>
        <v>2631</v>
      </c>
      <c r="C43" s="71">
        <f t="shared" si="11"/>
        <v>3212</v>
      </c>
      <c r="D43" s="71">
        <f t="shared" si="11"/>
        <v>5843</v>
      </c>
      <c r="E43" s="70">
        <f t="shared" si="11"/>
        <v>392</v>
      </c>
      <c r="F43" s="71">
        <f t="shared" si="11"/>
        <v>274</v>
      </c>
      <c r="G43" s="71">
        <f t="shared" si="11"/>
        <v>666</v>
      </c>
      <c r="H43" s="70">
        <f t="shared" si="11"/>
        <v>3023</v>
      </c>
      <c r="I43" s="71">
        <f t="shared" si="11"/>
        <v>3486</v>
      </c>
      <c r="J43" s="71">
        <f t="shared" si="11"/>
        <v>6509</v>
      </c>
    </row>
  </sheetData>
  <sheetProtection/>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74"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V76"/>
  <sheetViews>
    <sheetView zoomScalePageLayoutView="0" workbookViewId="0" topLeftCell="A1">
      <selection activeCell="A79" sqref="A79"/>
    </sheetView>
  </sheetViews>
  <sheetFormatPr defaultColWidth="9.28125" defaultRowHeight="12.75"/>
  <cols>
    <col min="1" max="1" width="33.28125" style="75" customWidth="1"/>
    <col min="2" max="2" width="11.00390625" style="75" customWidth="1"/>
    <col min="3" max="3" width="10.28125" style="75" customWidth="1"/>
    <col min="4" max="4" width="9.7109375" style="75" customWidth="1"/>
    <col min="5" max="5" width="7.7109375" style="75" customWidth="1"/>
    <col min="6" max="6" width="11.00390625" style="75" customWidth="1"/>
    <col min="7" max="7" width="10.00390625" style="75" customWidth="1"/>
    <col min="8" max="8" width="7.7109375" style="75" customWidth="1"/>
    <col min="9" max="9" width="10.00390625" style="75" customWidth="1"/>
    <col min="10" max="10" width="10.28125" style="75" customWidth="1"/>
    <col min="11" max="12" width="7.7109375" style="75" customWidth="1"/>
    <col min="13" max="13" width="11.00390625" style="75" customWidth="1"/>
    <col min="14" max="14" width="10.00390625" style="75" customWidth="1"/>
    <col min="15" max="15" width="10.28125" style="75" customWidth="1"/>
    <col min="16" max="16" width="10.7109375" style="75" customWidth="1"/>
    <col min="17" max="17" width="9.7109375" style="75" customWidth="1"/>
    <col min="18" max="19" width="10.421875" style="75" customWidth="1"/>
    <col min="20" max="16384" width="9.28125" style="75" customWidth="1"/>
  </cols>
  <sheetData>
    <row r="1" spans="1:19" ht="12.75">
      <c r="A1" s="72" t="s">
        <v>122</v>
      </c>
      <c r="B1" s="73"/>
      <c r="C1" s="73"/>
      <c r="D1" s="73"/>
      <c r="E1" s="74"/>
      <c r="F1" s="73"/>
      <c r="G1" s="73"/>
      <c r="H1" s="73"/>
      <c r="I1" s="73"/>
      <c r="J1" s="73"/>
      <c r="K1" s="73"/>
      <c r="L1" s="73"/>
      <c r="M1" s="73"/>
      <c r="N1" s="73"/>
      <c r="O1" s="73"/>
      <c r="P1" s="73"/>
      <c r="Q1" s="73"/>
      <c r="R1" s="73"/>
      <c r="S1" s="73"/>
    </row>
    <row r="2" spans="1:19" ht="12.75">
      <c r="A2" s="76" t="s">
        <v>76</v>
      </c>
      <c r="B2" s="77"/>
      <c r="C2" s="77"/>
      <c r="D2" s="76"/>
      <c r="E2" s="78"/>
      <c r="F2" s="77"/>
      <c r="G2" s="79"/>
      <c r="H2" s="77"/>
      <c r="I2" s="79"/>
      <c r="J2" s="77"/>
      <c r="K2" s="77"/>
      <c r="L2" s="77"/>
      <c r="M2" s="77"/>
      <c r="N2" s="77"/>
      <c r="O2" s="77"/>
      <c r="P2" s="77"/>
      <c r="Q2" s="77"/>
      <c r="R2" s="77"/>
      <c r="S2" s="77"/>
    </row>
    <row r="3" spans="1:19" ht="12.75">
      <c r="A3" s="76"/>
      <c r="B3" s="77"/>
      <c r="C3" s="77"/>
      <c r="D3" s="77"/>
      <c r="E3" s="78"/>
      <c r="F3" s="76"/>
      <c r="G3" s="79"/>
      <c r="H3" s="77"/>
      <c r="I3" s="79"/>
      <c r="J3" s="77"/>
      <c r="K3" s="77"/>
      <c r="L3" s="77"/>
      <c r="M3" s="77"/>
      <c r="N3" s="77"/>
      <c r="O3" s="77"/>
      <c r="P3" s="77"/>
      <c r="Q3" s="77"/>
      <c r="R3" s="77"/>
      <c r="S3" s="77"/>
    </row>
    <row r="4" spans="1:19" ht="12.75">
      <c r="A4" s="76" t="s">
        <v>127</v>
      </c>
      <c r="B4" s="77"/>
      <c r="C4" s="77"/>
      <c r="D4" s="77"/>
      <c r="E4" s="78"/>
      <c r="F4" s="76"/>
      <c r="G4" s="79"/>
      <c r="H4" s="77"/>
      <c r="I4" s="79"/>
      <c r="J4" s="77"/>
      <c r="K4" s="77"/>
      <c r="L4" s="77"/>
      <c r="M4" s="77"/>
      <c r="N4" s="77"/>
      <c r="O4" s="77"/>
      <c r="P4" s="77"/>
      <c r="Q4" s="77"/>
      <c r="R4" s="77"/>
      <c r="S4" s="77"/>
    </row>
    <row r="5" spans="1:19" ht="13.5" thickBot="1">
      <c r="A5" s="73"/>
      <c r="B5" s="73"/>
      <c r="C5" s="73"/>
      <c r="D5" s="73"/>
      <c r="E5" s="74"/>
      <c r="F5" s="73"/>
      <c r="G5" s="73"/>
      <c r="H5" s="73"/>
      <c r="I5" s="73"/>
      <c r="J5" s="73"/>
      <c r="K5" s="73"/>
      <c r="L5" s="73"/>
      <c r="M5" s="73"/>
      <c r="N5" s="73"/>
      <c r="O5" s="73"/>
      <c r="P5" s="73"/>
      <c r="Q5" s="73"/>
      <c r="R5" s="73"/>
      <c r="S5" s="73"/>
    </row>
    <row r="6" spans="1:19" ht="12.75">
      <c r="A6" s="80"/>
      <c r="B6" s="231" t="s">
        <v>72</v>
      </c>
      <c r="C6" s="149"/>
      <c r="D6" s="149"/>
      <c r="E6" s="149"/>
      <c r="F6" s="149"/>
      <c r="G6" s="149"/>
      <c r="H6" s="231" t="s">
        <v>71</v>
      </c>
      <c r="I6" s="149"/>
      <c r="J6" s="149"/>
      <c r="K6" s="149"/>
      <c r="L6" s="149"/>
      <c r="M6" s="149"/>
      <c r="N6" s="148" t="s">
        <v>4</v>
      </c>
      <c r="O6" s="149"/>
      <c r="P6" s="149"/>
      <c r="Q6" s="149"/>
      <c r="R6" s="149"/>
      <c r="S6" s="149"/>
    </row>
    <row r="7" spans="1:19" ht="12.75">
      <c r="A7" s="74"/>
      <c r="B7" s="150" t="s">
        <v>24</v>
      </c>
      <c r="C7" s="151"/>
      <c r="D7" s="151"/>
      <c r="E7" s="150" t="s">
        <v>25</v>
      </c>
      <c r="F7" s="151"/>
      <c r="G7" s="151"/>
      <c r="H7" s="150" t="s">
        <v>24</v>
      </c>
      <c r="I7" s="151"/>
      <c r="J7" s="151"/>
      <c r="K7" s="150" t="s">
        <v>25</v>
      </c>
      <c r="L7" s="151"/>
      <c r="M7" s="151"/>
      <c r="N7" s="150" t="s">
        <v>24</v>
      </c>
      <c r="O7" s="151"/>
      <c r="P7" s="151"/>
      <c r="Q7" s="150" t="s">
        <v>25</v>
      </c>
      <c r="R7" s="151"/>
      <c r="S7" s="151"/>
    </row>
    <row r="8" spans="1:19" ht="12.75">
      <c r="A8" s="81"/>
      <c r="B8" s="177" t="s">
        <v>5</v>
      </c>
      <c r="C8" s="178" t="s">
        <v>6</v>
      </c>
      <c r="D8" s="178" t="s">
        <v>4</v>
      </c>
      <c r="E8" s="177" t="s">
        <v>5</v>
      </c>
      <c r="F8" s="178" t="s">
        <v>6</v>
      </c>
      <c r="G8" s="178" t="s">
        <v>4</v>
      </c>
      <c r="H8" s="177" t="s">
        <v>5</v>
      </c>
      <c r="I8" s="178" t="s">
        <v>6</v>
      </c>
      <c r="J8" s="178" t="s">
        <v>4</v>
      </c>
      <c r="K8" s="177" t="s">
        <v>5</v>
      </c>
      <c r="L8" s="178" t="s">
        <v>6</v>
      </c>
      <c r="M8" s="178" t="s">
        <v>4</v>
      </c>
      <c r="N8" s="177" t="s">
        <v>5</v>
      </c>
      <c r="O8" s="178" t="s">
        <v>6</v>
      </c>
      <c r="P8" s="178" t="s">
        <v>4</v>
      </c>
      <c r="Q8" s="177" t="s">
        <v>5</v>
      </c>
      <c r="R8" s="178" t="s">
        <v>6</v>
      </c>
      <c r="S8" s="178" t="s">
        <v>4</v>
      </c>
    </row>
    <row r="9" spans="1:19" ht="12.75">
      <c r="A9" s="72"/>
      <c r="B9" s="82"/>
      <c r="C9" s="72"/>
      <c r="D9" s="72"/>
      <c r="E9" s="83"/>
      <c r="F9" s="73"/>
      <c r="G9" s="73"/>
      <c r="H9" s="83"/>
      <c r="I9" s="73"/>
      <c r="J9" s="73"/>
      <c r="K9" s="83"/>
      <c r="L9" s="73"/>
      <c r="M9" s="73"/>
      <c r="N9" s="83"/>
      <c r="O9" s="73"/>
      <c r="P9" s="73"/>
      <c r="Q9" s="83"/>
      <c r="R9" s="73"/>
      <c r="S9" s="73"/>
    </row>
    <row r="10" spans="1:19" ht="12.75">
      <c r="A10" s="72" t="s">
        <v>7</v>
      </c>
      <c r="B10" s="84"/>
      <c r="C10" s="85"/>
      <c r="D10" s="85"/>
      <c r="E10" s="84"/>
      <c r="F10" s="85"/>
      <c r="G10" s="85"/>
      <c r="H10" s="84"/>
      <c r="I10" s="85"/>
      <c r="J10" s="85"/>
      <c r="K10" s="84"/>
      <c r="L10" s="85"/>
      <c r="M10" s="85"/>
      <c r="N10" s="84"/>
      <c r="O10" s="85"/>
      <c r="P10" s="85"/>
      <c r="Q10" s="84"/>
      <c r="R10" s="85"/>
      <c r="S10" s="85"/>
    </row>
    <row r="11" spans="1:22" ht="12.75">
      <c r="A11" s="73" t="s">
        <v>42</v>
      </c>
      <c r="B11" s="84">
        <v>640</v>
      </c>
      <c r="C11" s="85">
        <v>4203</v>
      </c>
      <c r="D11" s="85">
        <f>SUM(B11:C11)</f>
        <v>4843</v>
      </c>
      <c r="E11" s="84">
        <v>195</v>
      </c>
      <c r="F11" s="85">
        <v>1243</v>
      </c>
      <c r="G11" s="85">
        <f>SUM(E11:F11)</f>
        <v>1438</v>
      </c>
      <c r="H11" s="84">
        <v>116</v>
      </c>
      <c r="I11" s="85">
        <v>1534</v>
      </c>
      <c r="J11" s="85">
        <f>SUM(H11:I11)</f>
        <v>1650</v>
      </c>
      <c r="K11" s="84">
        <v>168</v>
      </c>
      <c r="L11" s="85">
        <v>1018</v>
      </c>
      <c r="M11" s="85">
        <f>SUM(K11:L11)</f>
        <v>1186</v>
      </c>
      <c r="N11" s="84">
        <f aca="true" t="shared" si="0" ref="N11:O14">SUM(B11,H11)</f>
        <v>756</v>
      </c>
      <c r="O11" s="85">
        <f t="shared" si="0"/>
        <v>5737</v>
      </c>
      <c r="P11" s="85">
        <f>SUM(N11:O11)</f>
        <v>6493</v>
      </c>
      <c r="Q11" s="84">
        <f aca="true" t="shared" si="1" ref="Q11:R14">SUM(E11,K11)</f>
        <v>363</v>
      </c>
      <c r="R11" s="85">
        <f t="shared" si="1"/>
        <v>2261</v>
      </c>
      <c r="S11" s="85">
        <f>SUM(Q11:R11)</f>
        <v>2624</v>
      </c>
      <c r="U11"/>
      <c r="V11"/>
    </row>
    <row r="12" spans="1:22" ht="12.75">
      <c r="A12" s="73" t="s">
        <v>8</v>
      </c>
      <c r="B12" s="84">
        <v>3008</v>
      </c>
      <c r="C12" s="85">
        <v>14702</v>
      </c>
      <c r="D12" s="85">
        <f>SUM(B12:C12)</f>
        <v>17710</v>
      </c>
      <c r="E12" s="84">
        <v>594</v>
      </c>
      <c r="F12" s="85">
        <v>4715</v>
      </c>
      <c r="G12" s="85">
        <f>SUM(E12:F12)</f>
        <v>5309</v>
      </c>
      <c r="H12" s="84">
        <v>673</v>
      </c>
      <c r="I12" s="85">
        <v>7527</v>
      </c>
      <c r="J12" s="85">
        <f>SUM(H12:I12)</f>
        <v>8200</v>
      </c>
      <c r="K12" s="84">
        <v>493</v>
      </c>
      <c r="L12" s="85">
        <v>3456</v>
      </c>
      <c r="M12" s="85">
        <f>SUM(K12:L12)</f>
        <v>3949</v>
      </c>
      <c r="N12" s="84">
        <f t="shared" si="0"/>
        <v>3681</v>
      </c>
      <c r="O12" s="85">
        <f t="shared" si="0"/>
        <v>22229</v>
      </c>
      <c r="P12" s="85">
        <f>SUM(N12:O12)</f>
        <v>25910</v>
      </c>
      <c r="Q12" s="84">
        <f t="shared" si="1"/>
        <v>1087</v>
      </c>
      <c r="R12" s="85">
        <f t="shared" si="1"/>
        <v>8171</v>
      </c>
      <c r="S12" s="85">
        <f>SUM(Q12:R12)</f>
        <v>9258</v>
      </c>
      <c r="U12"/>
      <c r="V12"/>
    </row>
    <row r="13" spans="1:22" ht="12.75">
      <c r="A13" s="73" t="s">
        <v>9</v>
      </c>
      <c r="B13" s="84">
        <v>2</v>
      </c>
      <c r="C13" s="85">
        <v>12</v>
      </c>
      <c r="D13" s="85">
        <f>SUM(B13:C13)</f>
        <v>14</v>
      </c>
      <c r="E13" s="84"/>
      <c r="F13" s="85">
        <v>6</v>
      </c>
      <c r="G13" s="85">
        <f>SUM(E13:F13)</f>
        <v>6</v>
      </c>
      <c r="H13" s="84">
        <v>1</v>
      </c>
      <c r="I13" s="85">
        <v>7</v>
      </c>
      <c r="J13" s="85">
        <f>SUM(H13:I13)</f>
        <v>8</v>
      </c>
      <c r="K13" s="86"/>
      <c r="L13" s="85">
        <v>6</v>
      </c>
      <c r="M13" s="85">
        <f>SUM(K13:L13)</f>
        <v>6</v>
      </c>
      <c r="N13" s="84">
        <f t="shared" si="0"/>
        <v>3</v>
      </c>
      <c r="O13" s="85">
        <f t="shared" si="0"/>
        <v>19</v>
      </c>
      <c r="P13" s="85">
        <f>SUM(N13:O13)</f>
        <v>22</v>
      </c>
      <c r="Q13" s="84">
        <f t="shared" si="1"/>
        <v>0</v>
      </c>
      <c r="R13" s="85">
        <f t="shared" si="1"/>
        <v>12</v>
      </c>
      <c r="S13" s="85">
        <f>SUM(Q13:R13)</f>
        <v>12</v>
      </c>
      <c r="U13"/>
      <c r="V13"/>
    </row>
    <row r="14" spans="1:22" ht="12.75">
      <c r="A14" s="73" t="s">
        <v>10</v>
      </c>
      <c r="B14" s="84">
        <v>1086</v>
      </c>
      <c r="C14" s="85">
        <v>5815</v>
      </c>
      <c r="D14" s="85">
        <f>SUM(B14:C14)</f>
        <v>6901</v>
      </c>
      <c r="E14" s="84">
        <v>294</v>
      </c>
      <c r="F14" s="85">
        <v>1965</v>
      </c>
      <c r="G14" s="85">
        <f>SUM(E14:F14)</f>
        <v>2259</v>
      </c>
      <c r="H14" s="84">
        <v>263</v>
      </c>
      <c r="I14" s="85">
        <v>2759</v>
      </c>
      <c r="J14" s="85">
        <f>SUM(H14:I14)</f>
        <v>3022</v>
      </c>
      <c r="K14" s="84">
        <v>246</v>
      </c>
      <c r="L14" s="85">
        <v>1397</v>
      </c>
      <c r="M14" s="85">
        <f>SUM(K14:L14)</f>
        <v>1643</v>
      </c>
      <c r="N14" s="84">
        <f t="shared" si="0"/>
        <v>1349</v>
      </c>
      <c r="O14" s="85">
        <f t="shared" si="0"/>
        <v>8574</v>
      </c>
      <c r="P14" s="85">
        <f>SUM(N14:O14)</f>
        <v>9923</v>
      </c>
      <c r="Q14" s="84">
        <f t="shared" si="1"/>
        <v>540</v>
      </c>
      <c r="R14" s="85">
        <f t="shared" si="1"/>
        <v>3362</v>
      </c>
      <c r="S14" s="85">
        <f>SUM(Q14:R14)</f>
        <v>3902</v>
      </c>
      <c r="U14"/>
      <c r="V14"/>
    </row>
    <row r="15" spans="1:22" ht="12.75">
      <c r="A15" s="87" t="s">
        <v>4</v>
      </c>
      <c r="B15" s="88">
        <f>SUM(B11:B14)</f>
        <v>4736</v>
      </c>
      <c r="C15" s="89">
        <f aca="true" t="shared" si="2" ref="C15:S15">SUM(C11:C14)</f>
        <v>24732</v>
      </c>
      <c r="D15" s="89">
        <f t="shared" si="2"/>
        <v>29468</v>
      </c>
      <c r="E15" s="88">
        <f t="shared" si="2"/>
        <v>1083</v>
      </c>
      <c r="F15" s="89">
        <f t="shared" si="2"/>
        <v>7929</v>
      </c>
      <c r="G15" s="89">
        <f t="shared" si="2"/>
        <v>9012</v>
      </c>
      <c r="H15" s="88">
        <f t="shared" si="2"/>
        <v>1053</v>
      </c>
      <c r="I15" s="89">
        <f t="shared" si="2"/>
        <v>11827</v>
      </c>
      <c r="J15" s="89">
        <f t="shared" si="2"/>
        <v>12880</v>
      </c>
      <c r="K15" s="88">
        <f t="shared" si="2"/>
        <v>907</v>
      </c>
      <c r="L15" s="89">
        <f t="shared" si="2"/>
        <v>5877</v>
      </c>
      <c r="M15" s="89">
        <f t="shared" si="2"/>
        <v>6784</v>
      </c>
      <c r="N15" s="88">
        <f t="shared" si="2"/>
        <v>5789</v>
      </c>
      <c r="O15" s="89">
        <f t="shared" si="2"/>
        <v>36559</v>
      </c>
      <c r="P15" s="89">
        <f t="shared" si="2"/>
        <v>42348</v>
      </c>
      <c r="Q15" s="88">
        <f t="shared" si="2"/>
        <v>1990</v>
      </c>
      <c r="R15" s="89">
        <f t="shared" si="2"/>
        <v>13806</v>
      </c>
      <c r="S15" s="89">
        <f t="shared" si="2"/>
        <v>15796</v>
      </c>
      <c r="U15"/>
      <c r="V15"/>
    </row>
    <row r="16" spans="1:22" ht="12.75">
      <c r="A16" s="74"/>
      <c r="B16" s="84"/>
      <c r="C16" s="85"/>
      <c r="D16" s="85"/>
      <c r="E16" s="84"/>
      <c r="F16" s="85"/>
      <c r="G16" s="85"/>
      <c r="H16" s="84"/>
      <c r="I16" s="85"/>
      <c r="J16" s="85"/>
      <c r="K16" s="84"/>
      <c r="L16" s="85"/>
      <c r="M16" s="85"/>
      <c r="N16" s="84"/>
      <c r="O16" s="85"/>
      <c r="P16" s="85"/>
      <c r="Q16" s="84"/>
      <c r="R16" s="85"/>
      <c r="S16" s="85"/>
      <c r="U16"/>
      <c r="V16"/>
    </row>
    <row r="17" spans="1:22" ht="12.75">
      <c r="A17" s="72" t="s">
        <v>11</v>
      </c>
      <c r="B17" s="84"/>
      <c r="C17" s="85"/>
      <c r="D17" s="85"/>
      <c r="E17" s="84"/>
      <c r="F17" s="85"/>
      <c r="G17" s="85"/>
      <c r="H17" s="84"/>
      <c r="I17" s="85"/>
      <c r="J17" s="85"/>
      <c r="K17" s="84"/>
      <c r="L17" s="85"/>
      <c r="M17" s="85"/>
      <c r="N17" s="84"/>
      <c r="O17" s="85"/>
      <c r="P17" s="85"/>
      <c r="Q17" s="84"/>
      <c r="R17" s="85"/>
      <c r="S17" s="85"/>
      <c r="U17"/>
      <c r="V17"/>
    </row>
    <row r="18" spans="1:22" ht="12.75">
      <c r="A18" s="73" t="s">
        <v>42</v>
      </c>
      <c r="B18" s="84">
        <v>179</v>
      </c>
      <c r="C18" s="164">
        <v>793</v>
      </c>
      <c r="D18" s="85">
        <f>SUM(B18:C18)</f>
        <v>972</v>
      </c>
      <c r="E18" s="84">
        <v>40</v>
      </c>
      <c r="F18" s="85">
        <v>227</v>
      </c>
      <c r="G18" s="85">
        <f>SUM(E18:F18)</f>
        <v>267</v>
      </c>
      <c r="H18" s="84">
        <v>28</v>
      </c>
      <c r="I18" s="85">
        <v>287</v>
      </c>
      <c r="J18" s="85">
        <f>SUM(H18:I18)</f>
        <v>315</v>
      </c>
      <c r="K18" s="84">
        <v>15</v>
      </c>
      <c r="L18" s="85">
        <v>133</v>
      </c>
      <c r="M18" s="85">
        <f>SUM(K18:L18)</f>
        <v>148</v>
      </c>
      <c r="N18" s="84">
        <f aca="true" t="shared" si="3" ref="N18:O21">SUM(B18,H18)</f>
        <v>207</v>
      </c>
      <c r="O18" s="85">
        <f t="shared" si="3"/>
        <v>1080</v>
      </c>
      <c r="P18" s="85">
        <f>SUM(N18:O18)</f>
        <v>1287</v>
      </c>
      <c r="Q18" s="84">
        <f aca="true" t="shared" si="4" ref="Q18:R21">SUM(E18,K18)</f>
        <v>55</v>
      </c>
      <c r="R18" s="85">
        <f t="shared" si="4"/>
        <v>360</v>
      </c>
      <c r="S18" s="85">
        <f>SUM(Q18:R18)</f>
        <v>415</v>
      </c>
      <c r="U18"/>
      <c r="V18"/>
    </row>
    <row r="19" spans="1:22" ht="12.75">
      <c r="A19" s="73" t="s">
        <v>8</v>
      </c>
      <c r="B19" s="84">
        <v>460</v>
      </c>
      <c r="C19" s="85">
        <v>1627</v>
      </c>
      <c r="D19" s="85">
        <f>SUM(B19:C19)</f>
        <v>2087</v>
      </c>
      <c r="E19" s="84">
        <v>92</v>
      </c>
      <c r="F19" s="85">
        <v>543</v>
      </c>
      <c r="G19" s="85">
        <f>SUM(E19:F19)</f>
        <v>635</v>
      </c>
      <c r="H19" s="84">
        <v>98</v>
      </c>
      <c r="I19" s="85">
        <v>960</v>
      </c>
      <c r="J19" s="85">
        <f>SUM(H19:I19)</f>
        <v>1058</v>
      </c>
      <c r="K19" s="84">
        <v>56</v>
      </c>
      <c r="L19" s="85">
        <v>377</v>
      </c>
      <c r="M19" s="85">
        <f>SUM(K19:L19)</f>
        <v>433</v>
      </c>
      <c r="N19" s="84">
        <f t="shared" si="3"/>
        <v>558</v>
      </c>
      <c r="O19" s="85">
        <f t="shared" si="3"/>
        <v>2587</v>
      </c>
      <c r="P19" s="85">
        <f>SUM(N19:O19)</f>
        <v>3145</v>
      </c>
      <c r="Q19" s="84">
        <f t="shared" si="4"/>
        <v>148</v>
      </c>
      <c r="R19" s="85">
        <f t="shared" si="4"/>
        <v>920</v>
      </c>
      <c r="S19" s="85">
        <f>SUM(Q19:R19)</f>
        <v>1068</v>
      </c>
      <c r="U19"/>
      <c r="V19"/>
    </row>
    <row r="20" spans="1:22" ht="12.75">
      <c r="A20" s="73" t="s">
        <v>9</v>
      </c>
      <c r="B20" s="84">
        <v>13</v>
      </c>
      <c r="C20" s="85">
        <v>52</v>
      </c>
      <c r="D20" s="85">
        <f>SUM(B20:C20)</f>
        <v>65</v>
      </c>
      <c r="E20" s="86">
        <v>1</v>
      </c>
      <c r="F20" s="90">
        <v>16</v>
      </c>
      <c r="G20" s="90">
        <f>SUM(E20:F20)</f>
        <v>17</v>
      </c>
      <c r="H20" s="86">
        <v>3</v>
      </c>
      <c r="I20" s="85">
        <v>25</v>
      </c>
      <c r="J20" s="85">
        <f>SUM(H20:I20)</f>
        <v>28</v>
      </c>
      <c r="K20" s="86">
        <v>2</v>
      </c>
      <c r="L20" s="90">
        <v>7</v>
      </c>
      <c r="M20" s="90">
        <f>SUM(K20:L20)</f>
        <v>9</v>
      </c>
      <c r="N20" s="84">
        <f t="shared" si="3"/>
        <v>16</v>
      </c>
      <c r="O20" s="85">
        <f t="shared" si="3"/>
        <v>77</v>
      </c>
      <c r="P20" s="85">
        <f>SUM(N20:O20)</f>
        <v>93</v>
      </c>
      <c r="Q20" s="86">
        <f t="shared" si="4"/>
        <v>3</v>
      </c>
      <c r="R20" s="85">
        <f t="shared" si="4"/>
        <v>23</v>
      </c>
      <c r="S20" s="85">
        <f>SUM(Q20:R20)</f>
        <v>26</v>
      </c>
      <c r="U20"/>
      <c r="V20"/>
    </row>
    <row r="21" spans="1:22" ht="12.75">
      <c r="A21" s="73" t="s">
        <v>10</v>
      </c>
      <c r="B21" s="84">
        <f>80+3</f>
        <v>83</v>
      </c>
      <c r="C21" s="85">
        <f>377+22</f>
        <v>399</v>
      </c>
      <c r="D21" s="85">
        <f>SUM(B21:C21)</f>
        <v>482</v>
      </c>
      <c r="E21" s="84">
        <f>11+1</f>
        <v>12</v>
      </c>
      <c r="F21" s="85">
        <f>128+14</f>
        <v>142</v>
      </c>
      <c r="G21" s="85">
        <f>SUM(E21:F21)</f>
        <v>154</v>
      </c>
      <c r="H21" s="84">
        <f>16+0</f>
        <v>16</v>
      </c>
      <c r="I21" s="85">
        <f>167+15</f>
        <v>182</v>
      </c>
      <c r="J21" s="85">
        <f>SUM(H21:I21)</f>
        <v>198</v>
      </c>
      <c r="K21" s="84">
        <f>12+2</f>
        <v>14</v>
      </c>
      <c r="L21" s="85">
        <f>65+11</f>
        <v>76</v>
      </c>
      <c r="M21" s="85">
        <f>SUM(K21:L21)</f>
        <v>90</v>
      </c>
      <c r="N21" s="84">
        <f t="shared" si="3"/>
        <v>99</v>
      </c>
      <c r="O21" s="85">
        <f t="shared" si="3"/>
        <v>581</v>
      </c>
      <c r="P21" s="85">
        <f>SUM(N21:O21)</f>
        <v>680</v>
      </c>
      <c r="Q21" s="84">
        <f t="shared" si="4"/>
        <v>26</v>
      </c>
      <c r="R21" s="85">
        <f t="shared" si="4"/>
        <v>218</v>
      </c>
      <c r="S21" s="85">
        <f>SUM(Q21:R21)</f>
        <v>244</v>
      </c>
      <c r="U21"/>
      <c r="V21"/>
    </row>
    <row r="22" spans="1:22" ht="12.75">
      <c r="A22" s="87" t="s">
        <v>4</v>
      </c>
      <c r="B22" s="88">
        <f aca="true" t="shared" si="5" ref="B22:S22">SUM(B18:B21)</f>
        <v>735</v>
      </c>
      <c r="C22" s="89">
        <f t="shared" si="5"/>
        <v>2871</v>
      </c>
      <c r="D22" s="89">
        <f t="shared" si="5"/>
        <v>3606</v>
      </c>
      <c r="E22" s="88">
        <f t="shared" si="5"/>
        <v>145</v>
      </c>
      <c r="F22" s="89">
        <f t="shared" si="5"/>
        <v>928</v>
      </c>
      <c r="G22" s="89">
        <f t="shared" si="5"/>
        <v>1073</v>
      </c>
      <c r="H22" s="88">
        <f t="shared" si="5"/>
        <v>145</v>
      </c>
      <c r="I22" s="89">
        <f t="shared" si="5"/>
        <v>1454</v>
      </c>
      <c r="J22" s="89">
        <f t="shared" si="5"/>
        <v>1599</v>
      </c>
      <c r="K22" s="88">
        <f t="shared" si="5"/>
        <v>87</v>
      </c>
      <c r="L22" s="89">
        <f t="shared" si="5"/>
        <v>593</v>
      </c>
      <c r="M22" s="89">
        <f t="shared" si="5"/>
        <v>680</v>
      </c>
      <c r="N22" s="88">
        <f t="shared" si="5"/>
        <v>880</v>
      </c>
      <c r="O22" s="89">
        <f t="shared" si="5"/>
        <v>4325</v>
      </c>
      <c r="P22" s="89">
        <f t="shared" si="5"/>
        <v>5205</v>
      </c>
      <c r="Q22" s="88">
        <f t="shared" si="5"/>
        <v>232</v>
      </c>
      <c r="R22" s="89">
        <f t="shared" si="5"/>
        <v>1521</v>
      </c>
      <c r="S22" s="89">
        <f t="shared" si="5"/>
        <v>1753</v>
      </c>
      <c r="U22"/>
      <c r="V22"/>
    </row>
    <row r="23" spans="1:22" ht="12.75">
      <c r="A23" s="73"/>
      <c r="B23" s="84"/>
      <c r="C23" s="85"/>
      <c r="D23" s="85"/>
      <c r="E23" s="84"/>
      <c r="F23" s="85"/>
      <c r="G23" s="85"/>
      <c r="H23" s="84"/>
      <c r="I23" s="85"/>
      <c r="J23" s="85"/>
      <c r="K23" s="84"/>
      <c r="L23" s="85"/>
      <c r="M23" s="85"/>
      <c r="N23" s="84"/>
      <c r="O23" s="85"/>
      <c r="P23" s="85"/>
      <c r="Q23" s="84"/>
      <c r="R23" s="85"/>
      <c r="S23" s="85"/>
      <c r="U23"/>
      <c r="V23"/>
    </row>
    <row r="24" spans="1:22" ht="12.75">
      <c r="A24" s="198" t="s">
        <v>12</v>
      </c>
      <c r="D24" s="199"/>
      <c r="G24" s="199"/>
      <c r="J24" s="199"/>
      <c r="M24" s="85"/>
      <c r="N24" s="84"/>
      <c r="O24" s="85"/>
      <c r="P24" s="85"/>
      <c r="Q24" s="84"/>
      <c r="R24" s="85"/>
      <c r="S24" s="85"/>
      <c r="U24"/>
      <c r="V24"/>
    </row>
    <row r="25" spans="1:22" ht="12.75">
      <c r="A25" s="73" t="s">
        <v>42</v>
      </c>
      <c r="B25" s="84">
        <v>2640</v>
      </c>
      <c r="C25" s="85">
        <v>3766</v>
      </c>
      <c r="D25" s="85">
        <f>SUM(B25:C25)</f>
        <v>6406</v>
      </c>
      <c r="E25" s="84">
        <v>818</v>
      </c>
      <c r="F25" s="85">
        <v>1072</v>
      </c>
      <c r="G25" s="85">
        <f>SUM(E25:F25)</f>
        <v>1890</v>
      </c>
      <c r="H25" s="84">
        <v>545</v>
      </c>
      <c r="I25" s="85">
        <v>1551</v>
      </c>
      <c r="J25" s="85">
        <f>SUM(H25:I25)</f>
        <v>2096</v>
      </c>
      <c r="K25" s="84">
        <v>696</v>
      </c>
      <c r="L25" s="85">
        <v>1081</v>
      </c>
      <c r="M25" s="85">
        <f>SUM(K25:L25)</f>
        <v>1777</v>
      </c>
      <c r="N25" s="84">
        <f>SUM(B25,H25)</f>
        <v>3185</v>
      </c>
      <c r="O25" s="85">
        <f>SUM(C25,I25)</f>
        <v>5317</v>
      </c>
      <c r="P25" s="85">
        <f>SUM(N25:O25)</f>
        <v>8502</v>
      </c>
      <c r="Q25" s="84">
        <f>SUM(E25,K25)</f>
        <v>1514</v>
      </c>
      <c r="R25" s="85">
        <f>SUM(F25,L25)</f>
        <v>2153</v>
      </c>
      <c r="S25" s="85">
        <f>SUM(Q25:R25)</f>
        <v>3667</v>
      </c>
      <c r="U25"/>
      <c r="V25"/>
    </row>
    <row r="26" spans="1:22" ht="12.75">
      <c r="A26" s="73" t="s">
        <v>8</v>
      </c>
      <c r="B26" s="84">
        <v>9925</v>
      </c>
      <c r="C26" s="85">
        <v>11738</v>
      </c>
      <c r="D26" s="85">
        <f>SUM(B26:C26)</f>
        <v>21663</v>
      </c>
      <c r="E26" s="84">
        <v>1786</v>
      </c>
      <c r="F26" s="85">
        <v>2911</v>
      </c>
      <c r="G26" s="85">
        <f>SUM(E26:F26)</f>
        <v>4697</v>
      </c>
      <c r="H26" s="84">
        <v>2202</v>
      </c>
      <c r="I26" s="85">
        <v>9226</v>
      </c>
      <c r="J26" s="85">
        <f>SUM(H26:I26)</f>
        <v>11428</v>
      </c>
      <c r="K26" s="84">
        <v>1357</v>
      </c>
      <c r="L26" s="85">
        <v>2851</v>
      </c>
      <c r="M26" s="85">
        <f>SUM(K26:L26)</f>
        <v>4208</v>
      </c>
      <c r="N26" s="84">
        <f aca="true" t="shared" si="6" ref="N26:O28">SUM(B26,H26)</f>
        <v>12127</v>
      </c>
      <c r="O26" s="85">
        <f t="shared" si="6"/>
        <v>20964</v>
      </c>
      <c r="P26" s="85">
        <f>SUM(N26:O26)</f>
        <v>33091</v>
      </c>
      <c r="Q26" s="84">
        <f aca="true" t="shared" si="7" ref="Q26:R28">SUM(E26,K26)</f>
        <v>3143</v>
      </c>
      <c r="R26" s="85">
        <f t="shared" si="7"/>
        <v>5762</v>
      </c>
      <c r="S26" s="85">
        <f>SUM(Q26:R26)</f>
        <v>8905</v>
      </c>
      <c r="U26"/>
      <c r="V26"/>
    </row>
    <row r="27" spans="1:22" ht="12.75">
      <c r="A27" s="73" t="s">
        <v>9</v>
      </c>
      <c r="B27" s="84">
        <v>722</v>
      </c>
      <c r="C27" s="85">
        <v>559</v>
      </c>
      <c r="D27" s="85">
        <f>SUM(B27:C27)</f>
        <v>1281</v>
      </c>
      <c r="E27" s="84">
        <v>147</v>
      </c>
      <c r="F27" s="85">
        <v>139</v>
      </c>
      <c r="G27" s="85">
        <f>SUM(E27:F27)</f>
        <v>286</v>
      </c>
      <c r="H27" s="84">
        <v>164</v>
      </c>
      <c r="I27" s="85">
        <v>334</v>
      </c>
      <c r="J27" s="85">
        <f>SUM(H27:I27)</f>
        <v>498</v>
      </c>
      <c r="K27" s="84">
        <v>108</v>
      </c>
      <c r="L27" s="85">
        <v>151</v>
      </c>
      <c r="M27" s="85">
        <f>SUM(K27:L27)</f>
        <v>259</v>
      </c>
      <c r="N27" s="84">
        <f t="shared" si="6"/>
        <v>886</v>
      </c>
      <c r="O27" s="85">
        <f t="shared" si="6"/>
        <v>893</v>
      </c>
      <c r="P27" s="85">
        <f>SUM(N27:O27)</f>
        <v>1779</v>
      </c>
      <c r="Q27" s="84">
        <f t="shared" si="7"/>
        <v>255</v>
      </c>
      <c r="R27" s="85">
        <f t="shared" si="7"/>
        <v>290</v>
      </c>
      <c r="S27" s="85">
        <f>SUM(Q27:R27)</f>
        <v>545</v>
      </c>
      <c r="U27"/>
      <c r="V27"/>
    </row>
    <row r="28" spans="1:22" ht="12.75">
      <c r="A28" s="73" t="s">
        <v>10</v>
      </c>
      <c r="B28" s="84">
        <v>862</v>
      </c>
      <c r="C28" s="85">
        <v>858</v>
      </c>
      <c r="D28" s="85">
        <f>SUM(B28:C28)</f>
        <v>1720</v>
      </c>
      <c r="E28" s="84">
        <v>202</v>
      </c>
      <c r="F28" s="85">
        <v>205</v>
      </c>
      <c r="G28" s="85">
        <f>SUM(E28:F28)</f>
        <v>407</v>
      </c>
      <c r="H28" s="84">
        <v>187</v>
      </c>
      <c r="I28" s="85">
        <v>443</v>
      </c>
      <c r="J28" s="85">
        <f>SUM(H28:I28)</f>
        <v>630</v>
      </c>
      <c r="K28" s="84">
        <v>158</v>
      </c>
      <c r="L28" s="85">
        <v>227</v>
      </c>
      <c r="M28" s="85">
        <f>SUM(K28:L28)</f>
        <v>385</v>
      </c>
      <c r="N28" s="84">
        <f t="shared" si="6"/>
        <v>1049</v>
      </c>
      <c r="O28" s="85">
        <f t="shared" si="6"/>
        <v>1301</v>
      </c>
      <c r="P28" s="85">
        <f>SUM(N28:O28)</f>
        <v>2350</v>
      </c>
      <c r="Q28" s="84">
        <f t="shared" si="7"/>
        <v>360</v>
      </c>
      <c r="R28" s="85">
        <f t="shared" si="7"/>
        <v>432</v>
      </c>
      <c r="S28" s="85">
        <f>SUM(Q28:R28)</f>
        <v>792</v>
      </c>
      <c r="U28"/>
      <c r="V28"/>
    </row>
    <row r="29" spans="1:22" ht="12.75">
      <c r="A29" s="87" t="s">
        <v>4</v>
      </c>
      <c r="B29" s="88">
        <f>SUM(B25:B28)</f>
        <v>14149</v>
      </c>
      <c r="C29" s="89">
        <f>SUM(C25:C28)</f>
        <v>16921</v>
      </c>
      <c r="D29" s="89">
        <f aca="true" t="shared" si="8" ref="D29:S29">SUM(D25:D28)</f>
        <v>31070</v>
      </c>
      <c r="E29" s="88">
        <f>SUM(E25:E28)</f>
        <v>2953</v>
      </c>
      <c r="F29" s="89">
        <f>SUM(F25:F28)</f>
        <v>4327</v>
      </c>
      <c r="G29" s="89">
        <f t="shared" si="8"/>
        <v>7280</v>
      </c>
      <c r="H29" s="88">
        <f>SUM(H25:H28)</f>
        <v>3098</v>
      </c>
      <c r="I29" s="89">
        <f>SUM(I25:I28)</f>
        <v>11554</v>
      </c>
      <c r="J29" s="89">
        <f t="shared" si="8"/>
        <v>14652</v>
      </c>
      <c r="K29" s="88">
        <f>SUM(K25:K28)</f>
        <v>2319</v>
      </c>
      <c r="L29" s="89">
        <f>SUM(L25:L28)</f>
        <v>4310</v>
      </c>
      <c r="M29" s="89">
        <f t="shared" si="8"/>
        <v>6629</v>
      </c>
      <c r="N29" s="88">
        <f t="shared" si="8"/>
        <v>17247</v>
      </c>
      <c r="O29" s="89">
        <f t="shared" si="8"/>
        <v>28475</v>
      </c>
      <c r="P29" s="89">
        <f t="shared" si="8"/>
        <v>45722</v>
      </c>
      <c r="Q29" s="88">
        <f t="shared" si="8"/>
        <v>5272</v>
      </c>
      <c r="R29" s="89">
        <f t="shared" si="8"/>
        <v>8637</v>
      </c>
      <c r="S29" s="89">
        <f t="shared" si="8"/>
        <v>13909</v>
      </c>
      <c r="U29"/>
      <c r="V29"/>
    </row>
    <row r="30" spans="1:22" ht="12.75">
      <c r="A30" s="74"/>
      <c r="B30" s="84"/>
      <c r="C30" s="85"/>
      <c r="D30" s="85"/>
      <c r="E30" s="84"/>
      <c r="F30" s="85"/>
      <c r="G30" s="85"/>
      <c r="H30" s="84"/>
      <c r="I30" s="85"/>
      <c r="J30" s="85"/>
      <c r="K30" s="84"/>
      <c r="L30" s="85"/>
      <c r="M30" s="85"/>
      <c r="N30" s="84"/>
      <c r="O30" s="85"/>
      <c r="P30" s="85"/>
      <c r="Q30" s="84"/>
      <c r="R30" s="85"/>
      <c r="S30" s="85"/>
      <c r="U30"/>
      <c r="V30"/>
    </row>
    <row r="31" spans="1:22" ht="12.75">
      <c r="A31" s="72" t="s">
        <v>13</v>
      </c>
      <c r="B31" s="84"/>
      <c r="C31" s="85"/>
      <c r="D31" s="85"/>
      <c r="E31" s="84"/>
      <c r="F31" s="85"/>
      <c r="G31" s="85"/>
      <c r="H31" s="84"/>
      <c r="I31" s="85"/>
      <c r="J31" s="85"/>
      <c r="K31" s="84"/>
      <c r="L31" s="85"/>
      <c r="M31" s="85"/>
      <c r="N31" s="84"/>
      <c r="O31" s="85"/>
      <c r="P31" s="85"/>
      <c r="Q31" s="84"/>
      <c r="R31" s="85"/>
      <c r="S31" s="85"/>
      <c r="U31"/>
      <c r="V31"/>
    </row>
    <row r="32" spans="1:22" ht="12.75">
      <c r="A32" s="73" t="s">
        <v>42</v>
      </c>
      <c r="B32" s="84">
        <v>368</v>
      </c>
      <c r="C32" s="85">
        <v>689</v>
      </c>
      <c r="D32" s="85">
        <f>SUM(B32:C32)</f>
        <v>1057</v>
      </c>
      <c r="E32" s="84">
        <v>147</v>
      </c>
      <c r="F32" s="85">
        <v>227</v>
      </c>
      <c r="G32" s="85">
        <f>SUM(E32:F32)</f>
        <v>374</v>
      </c>
      <c r="H32" s="84">
        <v>75</v>
      </c>
      <c r="I32" s="85">
        <v>180</v>
      </c>
      <c r="J32" s="85">
        <f>SUM(H32:I32)</f>
        <v>255</v>
      </c>
      <c r="K32" s="84">
        <v>64</v>
      </c>
      <c r="L32" s="85">
        <v>137</v>
      </c>
      <c r="M32" s="85">
        <f>SUM(K32:L32)</f>
        <v>201</v>
      </c>
      <c r="N32" s="84">
        <f aca="true" t="shared" si="9" ref="N32:O35">SUM(B32,H32)</f>
        <v>443</v>
      </c>
      <c r="O32" s="85">
        <f t="shared" si="9"/>
        <v>869</v>
      </c>
      <c r="P32" s="85">
        <f>SUM(N32:O32)</f>
        <v>1312</v>
      </c>
      <c r="Q32" s="84">
        <f aca="true" t="shared" si="10" ref="Q32:R35">SUM(E32,K32)</f>
        <v>211</v>
      </c>
      <c r="R32" s="85">
        <f t="shared" si="10"/>
        <v>364</v>
      </c>
      <c r="S32" s="85">
        <f>SUM(Q32:R32)</f>
        <v>575</v>
      </c>
      <c r="U32"/>
      <c r="V32"/>
    </row>
    <row r="33" spans="1:22" ht="12.75">
      <c r="A33" s="73" t="s">
        <v>8</v>
      </c>
      <c r="B33" s="84">
        <v>964</v>
      </c>
      <c r="C33" s="85">
        <v>1655</v>
      </c>
      <c r="D33" s="85">
        <f>SUM(B33:C33)</f>
        <v>2619</v>
      </c>
      <c r="E33" s="84">
        <v>275</v>
      </c>
      <c r="F33" s="85">
        <v>536</v>
      </c>
      <c r="G33" s="85">
        <f>SUM(E33:F33)</f>
        <v>811</v>
      </c>
      <c r="H33" s="84">
        <v>185</v>
      </c>
      <c r="I33" s="85">
        <v>655</v>
      </c>
      <c r="J33" s="85">
        <f>SUM(H33:I33)</f>
        <v>840</v>
      </c>
      <c r="K33" s="84">
        <v>116</v>
      </c>
      <c r="L33" s="85">
        <v>334</v>
      </c>
      <c r="M33" s="85">
        <f>SUM(K33:L33)</f>
        <v>450</v>
      </c>
      <c r="N33" s="84">
        <f t="shared" si="9"/>
        <v>1149</v>
      </c>
      <c r="O33" s="85">
        <f t="shared" si="9"/>
        <v>2310</v>
      </c>
      <c r="P33" s="85">
        <f>SUM(N33:O33)</f>
        <v>3459</v>
      </c>
      <c r="Q33" s="84">
        <f t="shared" si="10"/>
        <v>391</v>
      </c>
      <c r="R33" s="85">
        <f t="shared" si="10"/>
        <v>870</v>
      </c>
      <c r="S33" s="85">
        <f>SUM(Q33:R33)</f>
        <v>1261</v>
      </c>
      <c r="U33"/>
      <c r="V33"/>
    </row>
    <row r="34" spans="1:22" ht="12.75">
      <c r="A34" s="73" t="s">
        <v>9</v>
      </c>
      <c r="B34" s="84">
        <v>32</v>
      </c>
      <c r="C34" s="85">
        <v>33</v>
      </c>
      <c r="D34" s="85">
        <f>SUM(B34:C34)</f>
        <v>65</v>
      </c>
      <c r="E34" s="84">
        <v>10</v>
      </c>
      <c r="F34" s="85">
        <v>7</v>
      </c>
      <c r="G34" s="85">
        <f>SUM(E34:F34)</f>
        <v>17</v>
      </c>
      <c r="H34" s="84">
        <v>10</v>
      </c>
      <c r="I34" s="85">
        <v>17</v>
      </c>
      <c r="J34" s="85">
        <f>SUM(H34:I34)</f>
        <v>27</v>
      </c>
      <c r="K34" s="86">
        <v>9</v>
      </c>
      <c r="L34" s="85">
        <v>4</v>
      </c>
      <c r="M34" s="85">
        <f>SUM(K34:L34)</f>
        <v>13</v>
      </c>
      <c r="N34" s="84">
        <f t="shared" si="9"/>
        <v>42</v>
      </c>
      <c r="O34" s="85">
        <f t="shared" si="9"/>
        <v>50</v>
      </c>
      <c r="P34" s="85">
        <f>SUM(N34:O34)</f>
        <v>92</v>
      </c>
      <c r="Q34" s="84">
        <f t="shared" si="10"/>
        <v>19</v>
      </c>
      <c r="R34" s="85">
        <f t="shared" si="10"/>
        <v>11</v>
      </c>
      <c r="S34" s="85">
        <f>SUM(Q34:R34)</f>
        <v>30</v>
      </c>
      <c r="U34"/>
      <c r="V34"/>
    </row>
    <row r="35" spans="1:22" ht="12.75">
      <c r="A35" s="73" t="s">
        <v>10</v>
      </c>
      <c r="B35" s="84">
        <f>155+21+14</f>
        <v>190</v>
      </c>
      <c r="C35" s="85">
        <f>214+29+48</f>
        <v>291</v>
      </c>
      <c r="D35" s="85">
        <f>SUM(B35:C35)</f>
        <v>481</v>
      </c>
      <c r="E35" s="84">
        <f>45+9+5</f>
        <v>59</v>
      </c>
      <c r="F35" s="85">
        <f>65+8+12</f>
        <v>85</v>
      </c>
      <c r="G35" s="85">
        <f>SUM(E35:F35)</f>
        <v>144</v>
      </c>
      <c r="H35" s="84">
        <f>26+2+5</f>
        <v>33</v>
      </c>
      <c r="I35" s="85">
        <f>71+6+16</f>
        <v>93</v>
      </c>
      <c r="J35" s="85">
        <f>SUM(H35:I35)</f>
        <v>126</v>
      </c>
      <c r="K35" s="84">
        <f>26+0+6</f>
        <v>32</v>
      </c>
      <c r="L35" s="85">
        <f>39+3+19</f>
        <v>61</v>
      </c>
      <c r="M35" s="85">
        <f>SUM(K35:L35)</f>
        <v>93</v>
      </c>
      <c r="N35" s="84">
        <f t="shared" si="9"/>
        <v>223</v>
      </c>
      <c r="O35" s="85">
        <f t="shared" si="9"/>
        <v>384</v>
      </c>
      <c r="P35" s="85">
        <f>SUM(N35:O35)</f>
        <v>607</v>
      </c>
      <c r="Q35" s="84">
        <f t="shared" si="10"/>
        <v>91</v>
      </c>
      <c r="R35" s="85">
        <f t="shared" si="10"/>
        <v>146</v>
      </c>
      <c r="S35" s="85">
        <f>SUM(Q35:R35)</f>
        <v>237</v>
      </c>
      <c r="U35"/>
      <c r="V35"/>
    </row>
    <row r="36" spans="1:22" ht="12.75">
      <c r="A36" s="87" t="s">
        <v>4</v>
      </c>
      <c r="B36" s="88">
        <f aca="true" t="shared" si="11" ref="B36:S36">SUM(B32:B35)</f>
        <v>1554</v>
      </c>
      <c r="C36" s="89">
        <f t="shared" si="11"/>
        <v>2668</v>
      </c>
      <c r="D36" s="89">
        <f t="shared" si="11"/>
        <v>4222</v>
      </c>
      <c r="E36" s="88">
        <f t="shared" si="11"/>
        <v>491</v>
      </c>
      <c r="F36" s="89">
        <f t="shared" si="11"/>
        <v>855</v>
      </c>
      <c r="G36" s="89">
        <f t="shared" si="11"/>
        <v>1346</v>
      </c>
      <c r="H36" s="88">
        <f t="shared" si="11"/>
        <v>303</v>
      </c>
      <c r="I36" s="89">
        <f t="shared" si="11"/>
        <v>945</v>
      </c>
      <c r="J36" s="89">
        <f t="shared" si="11"/>
        <v>1248</v>
      </c>
      <c r="K36" s="88">
        <f t="shared" si="11"/>
        <v>221</v>
      </c>
      <c r="L36" s="89">
        <f t="shared" si="11"/>
        <v>536</v>
      </c>
      <c r="M36" s="89">
        <f t="shared" si="11"/>
        <v>757</v>
      </c>
      <c r="N36" s="88">
        <f t="shared" si="11"/>
        <v>1857</v>
      </c>
      <c r="O36" s="89">
        <f t="shared" si="11"/>
        <v>3613</v>
      </c>
      <c r="P36" s="89">
        <f t="shared" si="11"/>
        <v>5470</v>
      </c>
      <c r="Q36" s="88">
        <f t="shared" si="11"/>
        <v>712</v>
      </c>
      <c r="R36" s="89">
        <f t="shared" si="11"/>
        <v>1391</v>
      </c>
      <c r="S36" s="89">
        <f t="shared" si="11"/>
        <v>2103</v>
      </c>
      <c r="U36"/>
      <c r="V36"/>
    </row>
    <row r="37" spans="1:22" ht="12.75">
      <c r="A37" s="87"/>
      <c r="B37" s="91"/>
      <c r="C37" s="92"/>
      <c r="D37" s="92"/>
      <c r="E37" s="91"/>
      <c r="F37" s="92"/>
      <c r="G37" s="92"/>
      <c r="H37" s="91"/>
      <c r="I37" s="92"/>
      <c r="J37" s="92"/>
      <c r="K37" s="91"/>
      <c r="L37" s="92"/>
      <c r="M37" s="92"/>
      <c r="N37" s="91"/>
      <c r="O37" s="92"/>
      <c r="P37" s="92"/>
      <c r="Q37" s="91"/>
      <c r="R37" s="92"/>
      <c r="S37" s="92"/>
      <c r="U37"/>
      <c r="V37"/>
    </row>
    <row r="38" spans="1:22" ht="12.75">
      <c r="A38" s="72" t="s">
        <v>75</v>
      </c>
      <c r="B38" s="84"/>
      <c r="C38" s="85"/>
      <c r="D38" s="85"/>
      <c r="E38" s="84"/>
      <c r="F38" s="85"/>
      <c r="G38" s="85"/>
      <c r="H38" s="84"/>
      <c r="I38" s="85"/>
      <c r="J38" s="85"/>
      <c r="K38" s="84"/>
      <c r="L38" s="85"/>
      <c r="M38" s="85"/>
      <c r="N38" s="84"/>
      <c r="O38" s="85"/>
      <c r="P38" s="85"/>
      <c r="Q38" s="84"/>
      <c r="R38" s="85"/>
      <c r="S38" s="85"/>
      <c r="U38"/>
      <c r="V38"/>
    </row>
    <row r="39" spans="1:22" ht="12.75">
      <c r="A39" s="73" t="s">
        <v>42</v>
      </c>
      <c r="B39" s="84">
        <v>19</v>
      </c>
      <c r="C39" s="85">
        <v>81</v>
      </c>
      <c r="D39" s="85">
        <f>SUM(B39:C39)</f>
        <v>100</v>
      </c>
      <c r="E39" s="84">
        <v>8</v>
      </c>
      <c r="F39" s="85">
        <v>53</v>
      </c>
      <c r="G39" s="85">
        <f>SUM(E39:F39)</f>
        <v>61</v>
      </c>
      <c r="H39" s="84">
        <v>1</v>
      </c>
      <c r="I39" s="85">
        <v>13</v>
      </c>
      <c r="J39" s="85">
        <f>SUM(H39:I39)</f>
        <v>14</v>
      </c>
      <c r="K39" s="84">
        <v>2</v>
      </c>
      <c r="L39" s="85">
        <v>18</v>
      </c>
      <c r="M39" s="85">
        <f>SUM(K39:L39)</f>
        <v>20</v>
      </c>
      <c r="N39" s="84">
        <f aca="true" t="shared" si="12" ref="N39:O42">SUM(B39,H39)</f>
        <v>20</v>
      </c>
      <c r="O39" s="85">
        <f t="shared" si="12"/>
        <v>94</v>
      </c>
      <c r="P39" s="85">
        <f>SUM(N39:O39)</f>
        <v>114</v>
      </c>
      <c r="Q39" s="84">
        <f aca="true" t="shared" si="13" ref="Q39:R42">SUM(E39,K39)</f>
        <v>10</v>
      </c>
      <c r="R39" s="85">
        <f t="shared" si="13"/>
        <v>71</v>
      </c>
      <c r="S39" s="85">
        <f>SUM(Q39:R39)</f>
        <v>81</v>
      </c>
      <c r="U39"/>
      <c r="V39"/>
    </row>
    <row r="40" spans="1:22" ht="12.75">
      <c r="A40" s="73" t="s">
        <v>8</v>
      </c>
      <c r="B40" s="84">
        <v>89</v>
      </c>
      <c r="C40" s="85">
        <v>480</v>
      </c>
      <c r="D40" s="85">
        <f>SUM(B40:C40)</f>
        <v>569</v>
      </c>
      <c r="E40" s="84">
        <v>35</v>
      </c>
      <c r="F40" s="85">
        <v>157</v>
      </c>
      <c r="G40" s="85">
        <f>SUM(E40:F40)</f>
        <v>192</v>
      </c>
      <c r="H40" s="84">
        <v>17</v>
      </c>
      <c r="I40" s="85">
        <v>275</v>
      </c>
      <c r="J40" s="85">
        <f>SUM(H40:I40)</f>
        <v>292</v>
      </c>
      <c r="K40" s="84">
        <v>17</v>
      </c>
      <c r="L40" s="85">
        <v>104</v>
      </c>
      <c r="M40" s="85">
        <f>SUM(K40:L40)</f>
        <v>121</v>
      </c>
      <c r="N40" s="84">
        <f t="shared" si="12"/>
        <v>106</v>
      </c>
      <c r="O40" s="85">
        <f t="shared" si="12"/>
        <v>755</v>
      </c>
      <c r="P40" s="85">
        <f>SUM(N40:O40)</f>
        <v>861</v>
      </c>
      <c r="Q40" s="84">
        <f t="shared" si="13"/>
        <v>52</v>
      </c>
      <c r="R40" s="85">
        <f t="shared" si="13"/>
        <v>261</v>
      </c>
      <c r="S40" s="85">
        <f>SUM(Q40:R40)</f>
        <v>313</v>
      </c>
      <c r="U40"/>
      <c r="V40"/>
    </row>
    <row r="41" spans="1:22" ht="12.75">
      <c r="A41" s="73" t="s">
        <v>9</v>
      </c>
      <c r="B41" s="84">
        <v>12</v>
      </c>
      <c r="C41" s="85">
        <v>48</v>
      </c>
      <c r="D41" s="85">
        <f>SUM(B41:C41)</f>
        <v>60</v>
      </c>
      <c r="E41" s="84">
        <v>7</v>
      </c>
      <c r="F41" s="85">
        <v>18</v>
      </c>
      <c r="G41" s="85">
        <f>SUM(E41:F41)</f>
        <v>25</v>
      </c>
      <c r="H41" s="84">
        <v>1</v>
      </c>
      <c r="I41" s="85">
        <v>21</v>
      </c>
      <c r="J41" s="85">
        <f>SUM(H41:I41)</f>
        <v>22</v>
      </c>
      <c r="K41" s="86">
        <v>1</v>
      </c>
      <c r="L41" s="85">
        <v>6</v>
      </c>
      <c r="M41" s="85">
        <f>SUM(K41:L41)</f>
        <v>7</v>
      </c>
      <c r="N41" s="84">
        <f t="shared" si="12"/>
        <v>13</v>
      </c>
      <c r="O41" s="85">
        <f t="shared" si="12"/>
        <v>69</v>
      </c>
      <c r="P41" s="85">
        <f>SUM(N41:O41)</f>
        <v>82</v>
      </c>
      <c r="Q41" s="84">
        <f t="shared" si="13"/>
        <v>8</v>
      </c>
      <c r="R41" s="85">
        <f t="shared" si="13"/>
        <v>24</v>
      </c>
      <c r="S41" s="85">
        <f>SUM(Q41:R41)</f>
        <v>32</v>
      </c>
      <c r="U41"/>
      <c r="V41"/>
    </row>
    <row r="42" spans="1:22" ht="12.75">
      <c r="A42" s="73" t="s">
        <v>10</v>
      </c>
      <c r="B42" s="84">
        <v>4</v>
      </c>
      <c r="C42" s="85">
        <v>10</v>
      </c>
      <c r="D42" s="85">
        <f>SUM(B42:C42)</f>
        <v>14</v>
      </c>
      <c r="E42" s="84">
        <v>1</v>
      </c>
      <c r="F42" s="85">
        <v>6</v>
      </c>
      <c r="G42" s="85">
        <f>SUM(E42:F42)</f>
        <v>7</v>
      </c>
      <c r="H42" s="84">
        <v>0</v>
      </c>
      <c r="I42" s="85">
        <v>4</v>
      </c>
      <c r="J42" s="85">
        <f>SUM(H42:I42)</f>
        <v>4</v>
      </c>
      <c r="K42" s="84">
        <v>1</v>
      </c>
      <c r="L42" s="85">
        <v>4</v>
      </c>
      <c r="M42" s="85">
        <f>SUM(K42:L42)</f>
        <v>5</v>
      </c>
      <c r="N42" s="84">
        <f t="shared" si="12"/>
        <v>4</v>
      </c>
      <c r="O42" s="85">
        <f t="shared" si="12"/>
        <v>14</v>
      </c>
      <c r="P42" s="85">
        <f>SUM(N42:O42)</f>
        <v>18</v>
      </c>
      <c r="Q42" s="84">
        <f t="shared" si="13"/>
        <v>2</v>
      </c>
      <c r="R42" s="85">
        <f t="shared" si="13"/>
        <v>10</v>
      </c>
      <c r="S42" s="85">
        <f>SUM(Q42:R42)</f>
        <v>12</v>
      </c>
      <c r="U42"/>
      <c r="V42"/>
    </row>
    <row r="43" spans="1:22" ht="12.75">
      <c r="A43" s="87" t="s">
        <v>4</v>
      </c>
      <c r="B43" s="88">
        <f aca="true" t="shared" si="14" ref="B43:S43">SUM(B39:B42)</f>
        <v>124</v>
      </c>
      <c r="C43" s="89">
        <f t="shared" si="14"/>
        <v>619</v>
      </c>
      <c r="D43" s="89">
        <f t="shared" si="14"/>
        <v>743</v>
      </c>
      <c r="E43" s="88">
        <f t="shared" si="14"/>
        <v>51</v>
      </c>
      <c r="F43" s="89">
        <f t="shared" si="14"/>
        <v>234</v>
      </c>
      <c r="G43" s="89">
        <f t="shared" si="14"/>
        <v>285</v>
      </c>
      <c r="H43" s="88">
        <f t="shared" si="14"/>
        <v>19</v>
      </c>
      <c r="I43" s="89">
        <f t="shared" si="14"/>
        <v>313</v>
      </c>
      <c r="J43" s="89">
        <f t="shared" si="14"/>
        <v>332</v>
      </c>
      <c r="K43" s="88">
        <f t="shared" si="14"/>
        <v>21</v>
      </c>
      <c r="L43" s="89">
        <f t="shared" si="14"/>
        <v>132</v>
      </c>
      <c r="M43" s="89">
        <f t="shared" si="14"/>
        <v>153</v>
      </c>
      <c r="N43" s="88">
        <f t="shared" si="14"/>
        <v>143</v>
      </c>
      <c r="O43" s="89">
        <f t="shared" si="14"/>
        <v>932</v>
      </c>
      <c r="P43" s="89">
        <f t="shared" si="14"/>
        <v>1075</v>
      </c>
      <c r="Q43" s="88">
        <f t="shared" si="14"/>
        <v>72</v>
      </c>
      <c r="R43" s="89">
        <f t="shared" si="14"/>
        <v>366</v>
      </c>
      <c r="S43" s="89">
        <f t="shared" si="14"/>
        <v>438</v>
      </c>
      <c r="U43"/>
      <c r="V43"/>
    </row>
    <row r="44" spans="1:22" ht="12.75">
      <c r="A44" s="73"/>
      <c r="B44" s="84"/>
      <c r="C44" s="85"/>
      <c r="D44" s="161"/>
      <c r="E44" s="84"/>
      <c r="F44" s="85"/>
      <c r="G44" s="85"/>
      <c r="H44" s="84"/>
      <c r="I44" s="85"/>
      <c r="J44" s="85"/>
      <c r="K44" s="84"/>
      <c r="L44" s="85"/>
      <c r="M44" s="85"/>
      <c r="N44" s="84"/>
      <c r="O44" s="85"/>
      <c r="P44" s="85"/>
      <c r="Q44" s="84"/>
      <c r="R44" s="85"/>
      <c r="S44" s="85"/>
      <c r="U44"/>
      <c r="V44"/>
    </row>
    <row r="45" spans="1:22" ht="12.75">
      <c r="A45" s="72" t="s">
        <v>14</v>
      </c>
      <c r="B45" s="84"/>
      <c r="C45" s="85"/>
      <c r="D45" s="161"/>
      <c r="E45" s="84"/>
      <c r="F45" s="85"/>
      <c r="G45" s="85"/>
      <c r="H45" s="84"/>
      <c r="I45" s="85"/>
      <c r="J45" s="85"/>
      <c r="K45" s="84"/>
      <c r="L45" s="85"/>
      <c r="M45" s="85"/>
      <c r="N45" s="84"/>
      <c r="O45" s="85"/>
      <c r="P45" s="85"/>
      <c r="Q45" s="84"/>
      <c r="R45" s="85"/>
      <c r="S45" s="85"/>
      <c r="U45"/>
      <c r="V45"/>
    </row>
    <row r="46" spans="1:22" ht="12.75">
      <c r="A46" s="87" t="s">
        <v>4</v>
      </c>
      <c r="B46" s="91">
        <f>1407+14</f>
        <v>1421</v>
      </c>
      <c r="C46" s="92">
        <f>1378+6</f>
        <v>1384</v>
      </c>
      <c r="D46" s="92">
        <f>SUM(B46,C46)</f>
        <v>2805</v>
      </c>
      <c r="E46" s="91">
        <f>562+0</f>
        <v>562</v>
      </c>
      <c r="F46" s="92">
        <f>704+1</f>
        <v>705</v>
      </c>
      <c r="G46" s="92">
        <f>SUM(E46:F46)</f>
        <v>1267</v>
      </c>
      <c r="H46" s="91">
        <f>493+27</f>
        <v>520</v>
      </c>
      <c r="I46" s="92">
        <f>1199+50</f>
        <v>1249</v>
      </c>
      <c r="J46" s="92">
        <f>SUM(H46:I46)</f>
        <v>1769</v>
      </c>
      <c r="K46" s="91">
        <f>1157+0</f>
        <v>1157</v>
      </c>
      <c r="L46" s="92">
        <f>1330+0</f>
        <v>1330</v>
      </c>
      <c r="M46" s="92">
        <f>SUM(K46:L46)</f>
        <v>2487</v>
      </c>
      <c r="N46" s="91">
        <f>SUM(B46,H46)</f>
        <v>1941</v>
      </c>
      <c r="O46" s="92">
        <f>SUM(C46,I46)</f>
        <v>2633</v>
      </c>
      <c r="P46" s="92">
        <f>SUM(N46:O46)</f>
        <v>4574</v>
      </c>
      <c r="Q46" s="91">
        <f>SUM(E46,K46)</f>
        <v>1719</v>
      </c>
      <c r="R46" s="92">
        <f>SUM(F46,L46)</f>
        <v>2035</v>
      </c>
      <c r="S46" s="92">
        <f>SUM(Q46:R46)</f>
        <v>3754</v>
      </c>
      <c r="U46"/>
      <c r="V46"/>
    </row>
    <row r="47" spans="1:22" ht="12.75">
      <c r="A47" s="73"/>
      <c r="B47" s="84"/>
      <c r="C47" s="85"/>
      <c r="D47" s="85"/>
      <c r="E47" s="84"/>
      <c r="F47" s="85"/>
      <c r="G47" s="85"/>
      <c r="H47" s="84"/>
      <c r="I47" s="85"/>
      <c r="J47" s="85"/>
      <c r="K47" s="84"/>
      <c r="L47" s="85"/>
      <c r="M47" s="85"/>
      <c r="N47" s="84"/>
      <c r="O47" s="85"/>
      <c r="P47" s="85"/>
      <c r="Q47" s="84"/>
      <c r="R47" s="85"/>
      <c r="S47" s="85"/>
      <c r="U47"/>
      <c r="V47"/>
    </row>
    <row r="48" spans="1:22" ht="12.75">
      <c r="A48" s="72" t="s">
        <v>50</v>
      </c>
      <c r="B48" s="84"/>
      <c r="C48" s="85"/>
      <c r="D48" s="161"/>
      <c r="E48" s="84"/>
      <c r="F48" s="85"/>
      <c r="G48" s="85"/>
      <c r="H48" s="84"/>
      <c r="I48" s="85"/>
      <c r="J48" s="85"/>
      <c r="K48" s="84"/>
      <c r="L48" s="85"/>
      <c r="M48" s="85"/>
      <c r="N48" s="84"/>
      <c r="O48" s="85"/>
      <c r="P48" s="85"/>
      <c r="Q48" s="84"/>
      <c r="R48" s="85"/>
      <c r="S48" s="85"/>
      <c r="U48"/>
      <c r="V48"/>
    </row>
    <row r="49" spans="1:22" ht="12.75">
      <c r="A49" s="87" t="s">
        <v>4</v>
      </c>
      <c r="B49" s="91">
        <v>0</v>
      </c>
      <c r="C49" s="92">
        <v>0</v>
      </c>
      <c r="D49" s="92">
        <f>SUM(B49,C49)</f>
        <v>0</v>
      </c>
      <c r="E49" s="91">
        <v>79</v>
      </c>
      <c r="F49" s="92">
        <v>232</v>
      </c>
      <c r="G49" s="92">
        <f>SUM(E49:F49)</f>
        <v>311</v>
      </c>
      <c r="H49" s="91">
        <v>0</v>
      </c>
      <c r="I49" s="92">
        <v>0</v>
      </c>
      <c r="J49" s="92">
        <f>SUM(H49:I49)</f>
        <v>0</v>
      </c>
      <c r="K49" s="91">
        <v>75</v>
      </c>
      <c r="L49" s="92">
        <v>702</v>
      </c>
      <c r="M49" s="92">
        <f>SUM(K49:L49)</f>
        <v>777</v>
      </c>
      <c r="N49" s="91">
        <f>SUM(B49,H49)</f>
        <v>0</v>
      </c>
      <c r="O49" s="92">
        <f>SUM(C49,I49)</f>
        <v>0</v>
      </c>
      <c r="P49" s="92">
        <f>SUM(N49:O49)</f>
        <v>0</v>
      </c>
      <c r="Q49" s="91">
        <f>SUM(E49,K49)</f>
        <v>154</v>
      </c>
      <c r="R49" s="92">
        <f>SUM(F49,L49)</f>
        <v>934</v>
      </c>
      <c r="S49" s="92">
        <f>SUM(Q49:R49)</f>
        <v>1088</v>
      </c>
      <c r="U49"/>
      <c r="V49"/>
    </row>
    <row r="50" spans="1:22" ht="12.75">
      <c r="A50" s="73"/>
      <c r="B50" s="84"/>
      <c r="C50" s="85"/>
      <c r="D50" s="85"/>
      <c r="E50" s="84"/>
      <c r="F50" s="85"/>
      <c r="G50" s="85"/>
      <c r="H50" s="84"/>
      <c r="I50" s="85"/>
      <c r="J50" s="85"/>
      <c r="K50" s="84"/>
      <c r="L50" s="85"/>
      <c r="M50" s="85"/>
      <c r="N50" s="84"/>
      <c r="O50" s="85"/>
      <c r="P50" s="85"/>
      <c r="Q50" s="84"/>
      <c r="R50" s="85"/>
      <c r="S50" s="85"/>
      <c r="U50"/>
      <c r="V50"/>
    </row>
    <row r="51" spans="1:22" ht="12.75">
      <c r="A51" s="1" t="s">
        <v>46</v>
      </c>
      <c r="B51" s="84"/>
      <c r="C51" s="85"/>
      <c r="D51" s="85"/>
      <c r="E51" s="84"/>
      <c r="F51" s="85"/>
      <c r="G51" s="85"/>
      <c r="H51" s="84"/>
      <c r="I51" s="85"/>
      <c r="J51" s="85"/>
      <c r="K51" s="84"/>
      <c r="L51" s="85"/>
      <c r="M51" s="85"/>
      <c r="N51" s="84"/>
      <c r="O51" s="85"/>
      <c r="P51" s="85"/>
      <c r="Q51" s="84"/>
      <c r="R51" s="85"/>
      <c r="S51" s="85"/>
      <c r="U51"/>
      <c r="V51"/>
    </row>
    <row r="52" spans="1:22" ht="12.75">
      <c r="A52" s="73" t="s">
        <v>42</v>
      </c>
      <c r="B52" s="84">
        <v>235</v>
      </c>
      <c r="C52" s="90">
        <v>320</v>
      </c>
      <c r="D52" s="85">
        <f>SUM(B52:C52)</f>
        <v>555</v>
      </c>
      <c r="E52" s="84">
        <v>40</v>
      </c>
      <c r="F52" s="85">
        <v>105</v>
      </c>
      <c r="G52" s="85">
        <f>SUM(E52:F52)</f>
        <v>145</v>
      </c>
      <c r="H52" s="84">
        <v>154</v>
      </c>
      <c r="I52" s="85">
        <v>431</v>
      </c>
      <c r="J52" s="85">
        <f>SUM(H52:I52)</f>
        <v>585</v>
      </c>
      <c r="K52" s="84">
        <v>258</v>
      </c>
      <c r="L52" s="85">
        <v>418</v>
      </c>
      <c r="M52" s="85">
        <f>SUM(K52:L52)</f>
        <v>676</v>
      </c>
      <c r="N52" s="84">
        <f aca="true" t="shared" si="15" ref="N52:O55">SUM(B52,H52)</f>
        <v>389</v>
      </c>
      <c r="O52" s="85">
        <f t="shared" si="15"/>
        <v>751</v>
      </c>
      <c r="P52" s="85">
        <f>SUM(N52:O52)</f>
        <v>1140</v>
      </c>
      <c r="Q52" s="84">
        <f aca="true" t="shared" si="16" ref="Q52:R55">SUM(E52,K52)</f>
        <v>298</v>
      </c>
      <c r="R52" s="85">
        <f t="shared" si="16"/>
        <v>523</v>
      </c>
      <c r="S52" s="85">
        <f>SUM(Q52:R52)</f>
        <v>821</v>
      </c>
      <c r="U52"/>
      <c r="V52"/>
    </row>
    <row r="53" spans="1:22" ht="12.75">
      <c r="A53" s="73" t="s">
        <v>8</v>
      </c>
      <c r="B53" s="84">
        <v>204</v>
      </c>
      <c r="C53" s="85">
        <v>386</v>
      </c>
      <c r="D53" s="85">
        <f>SUM(B53:C53)</f>
        <v>590</v>
      </c>
      <c r="E53" s="84">
        <v>52</v>
      </c>
      <c r="F53" s="85">
        <v>153</v>
      </c>
      <c r="G53" s="85">
        <f>SUM(E53:F53)</f>
        <v>205</v>
      </c>
      <c r="H53" s="84">
        <v>178</v>
      </c>
      <c r="I53" s="85">
        <v>622</v>
      </c>
      <c r="J53" s="85">
        <f>SUM(H53:I53)</f>
        <v>800</v>
      </c>
      <c r="K53" s="84">
        <v>343</v>
      </c>
      <c r="L53" s="85">
        <v>519</v>
      </c>
      <c r="M53" s="85">
        <f>SUM(K53:L53)</f>
        <v>862</v>
      </c>
      <c r="N53" s="84">
        <f t="shared" si="15"/>
        <v>382</v>
      </c>
      <c r="O53" s="85">
        <f t="shared" si="15"/>
        <v>1008</v>
      </c>
      <c r="P53" s="85">
        <f>SUM(N53:O53)</f>
        <v>1390</v>
      </c>
      <c r="Q53" s="84">
        <f t="shared" si="16"/>
        <v>395</v>
      </c>
      <c r="R53" s="85">
        <f t="shared" si="16"/>
        <v>672</v>
      </c>
      <c r="S53" s="85">
        <f>SUM(Q53:R53)</f>
        <v>1067</v>
      </c>
      <c r="U53"/>
      <c r="V53"/>
    </row>
    <row r="54" spans="1:22" ht="12.75">
      <c r="A54" s="73" t="s">
        <v>9</v>
      </c>
      <c r="B54" s="84">
        <v>93</v>
      </c>
      <c r="C54" s="85">
        <v>117</v>
      </c>
      <c r="D54" s="85">
        <f>SUM(B54:C54)</f>
        <v>210</v>
      </c>
      <c r="E54" s="86">
        <v>21</v>
      </c>
      <c r="F54" s="85">
        <v>26</v>
      </c>
      <c r="G54" s="85">
        <f>SUM(E54:F54)</f>
        <v>47</v>
      </c>
      <c r="H54" s="84">
        <v>55</v>
      </c>
      <c r="I54" s="85">
        <v>167</v>
      </c>
      <c r="J54" s="85">
        <f>SUM(H54:I54)</f>
        <v>222</v>
      </c>
      <c r="K54" s="84">
        <v>75</v>
      </c>
      <c r="L54" s="85">
        <v>97</v>
      </c>
      <c r="M54" s="85">
        <f>SUM(K54:L54)</f>
        <v>172</v>
      </c>
      <c r="N54" s="84">
        <f t="shared" si="15"/>
        <v>148</v>
      </c>
      <c r="O54" s="85">
        <f t="shared" si="15"/>
        <v>284</v>
      </c>
      <c r="P54" s="85">
        <f>SUM(N54:O54)</f>
        <v>432</v>
      </c>
      <c r="Q54" s="84">
        <f t="shared" si="16"/>
        <v>96</v>
      </c>
      <c r="R54" s="85">
        <f t="shared" si="16"/>
        <v>123</v>
      </c>
      <c r="S54" s="85">
        <f>SUM(Q54:R54)</f>
        <v>219</v>
      </c>
      <c r="U54"/>
      <c r="V54"/>
    </row>
    <row r="55" spans="1:22" ht="12.75">
      <c r="A55" s="73" t="s">
        <v>10</v>
      </c>
      <c r="B55" s="84">
        <f>96+6</f>
        <v>102</v>
      </c>
      <c r="C55" s="85">
        <f>149+0</f>
        <v>149</v>
      </c>
      <c r="D55" s="85">
        <f>SUM(B55:C55)</f>
        <v>251</v>
      </c>
      <c r="E55" s="84">
        <v>33</v>
      </c>
      <c r="F55" s="85">
        <v>61</v>
      </c>
      <c r="G55" s="85">
        <f>SUM(E55:F55)</f>
        <v>94</v>
      </c>
      <c r="H55" s="84">
        <f>57+1</f>
        <v>58</v>
      </c>
      <c r="I55" s="85">
        <f>213+1</f>
        <v>214</v>
      </c>
      <c r="J55" s="85">
        <f>SUM(H55:I55)</f>
        <v>272</v>
      </c>
      <c r="K55" s="84">
        <v>62</v>
      </c>
      <c r="L55" s="85">
        <v>158</v>
      </c>
      <c r="M55" s="85">
        <f>SUM(K55:L55)</f>
        <v>220</v>
      </c>
      <c r="N55" s="84">
        <f t="shared" si="15"/>
        <v>160</v>
      </c>
      <c r="O55" s="85">
        <f t="shared" si="15"/>
        <v>363</v>
      </c>
      <c r="P55" s="85">
        <f>SUM(N55:O55)</f>
        <v>523</v>
      </c>
      <c r="Q55" s="84">
        <f t="shared" si="16"/>
        <v>95</v>
      </c>
      <c r="R55" s="85">
        <f t="shared" si="16"/>
        <v>219</v>
      </c>
      <c r="S55" s="85">
        <f>SUM(Q55:R55)</f>
        <v>314</v>
      </c>
      <c r="U55"/>
      <c r="V55"/>
    </row>
    <row r="56" spans="1:22" ht="12.75">
      <c r="A56" s="87" t="s">
        <v>4</v>
      </c>
      <c r="B56" s="88">
        <f aca="true" t="shared" si="17" ref="B56:S56">SUM(B52:B55)</f>
        <v>634</v>
      </c>
      <c r="C56" s="89">
        <f t="shared" si="17"/>
        <v>972</v>
      </c>
      <c r="D56" s="89">
        <f t="shared" si="17"/>
        <v>1606</v>
      </c>
      <c r="E56" s="88">
        <f t="shared" si="17"/>
        <v>146</v>
      </c>
      <c r="F56" s="89">
        <f t="shared" si="17"/>
        <v>345</v>
      </c>
      <c r="G56" s="89">
        <f t="shared" si="17"/>
        <v>491</v>
      </c>
      <c r="H56" s="88">
        <f t="shared" si="17"/>
        <v>445</v>
      </c>
      <c r="I56" s="89">
        <f t="shared" si="17"/>
        <v>1434</v>
      </c>
      <c r="J56" s="89">
        <f t="shared" si="17"/>
        <v>1879</v>
      </c>
      <c r="K56" s="88">
        <f t="shared" si="17"/>
        <v>738</v>
      </c>
      <c r="L56" s="89">
        <f t="shared" si="17"/>
        <v>1192</v>
      </c>
      <c r="M56" s="89">
        <f t="shared" si="17"/>
        <v>1930</v>
      </c>
      <c r="N56" s="88">
        <f t="shared" si="17"/>
        <v>1079</v>
      </c>
      <c r="O56" s="89">
        <f t="shared" si="17"/>
        <v>2406</v>
      </c>
      <c r="P56" s="89">
        <f t="shared" si="17"/>
        <v>3485</v>
      </c>
      <c r="Q56" s="88">
        <f t="shared" si="17"/>
        <v>884</v>
      </c>
      <c r="R56" s="89">
        <f t="shared" si="17"/>
        <v>1537</v>
      </c>
      <c r="S56" s="89">
        <f t="shared" si="17"/>
        <v>2421</v>
      </c>
      <c r="U56"/>
      <c r="V56"/>
    </row>
    <row r="57" spans="1:22" ht="12.75">
      <c r="A57" s="73"/>
      <c r="B57" s="84"/>
      <c r="C57" s="85"/>
      <c r="D57" s="85"/>
      <c r="E57" s="84"/>
      <c r="F57" s="85"/>
      <c r="G57" s="85"/>
      <c r="H57" s="84"/>
      <c r="I57" s="85"/>
      <c r="J57" s="85"/>
      <c r="K57" s="84"/>
      <c r="L57" s="85"/>
      <c r="M57" s="85"/>
      <c r="N57" s="84"/>
      <c r="O57" s="85"/>
      <c r="P57" s="85"/>
      <c r="Q57" s="84"/>
      <c r="R57" s="85"/>
      <c r="S57" s="85"/>
      <c r="U57"/>
      <c r="V57"/>
    </row>
    <row r="58" spans="1:22" ht="12.75">
      <c r="A58" s="1" t="s">
        <v>47</v>
      </c>
      <c r="B58" s="84"/>
      <c r="C58" s="85"/>
      <c r="D58" s="85"/>
      <c r="E58" s="84"/>
      <c r="F58" s="85"/>
      <c r="G58" s="85"/>
      <c r="H58" s="84"/>
      <c r="I58" s="85"/>
      <c r="J58" s="85"/>
      <c r="K58" s="84"/>
      <c r="L58" s="85"/>
      <c r="M58" s="85"/>
      <c r="N58" s="84"/>
      <c r="O58" s="85"/>
      <c r="P58" s="85"/>
      <c r="Q58" s="84"/>
      <c r="R58" s="85"/>
      <c r="S58" s="85"/>
      <c r="U58"/>
      <c r="V58"/>
    </row>
    <row r="59" spans="1:22" ht="12.75">
      <c r="A59" s="73" t="s">
        <v>42</v>
      </c>
      <c r="B59" s="86">
        <v>56</v>
      </c>
      <c r="C59" s="90">
        <v>58</v>
      </c>
      <c r="D59" s="90">
        <f>SUM(B59:C59)</f>
        <v>114</v>
      </c>
      <c r="E59" s="84">
        <v>17</v>
      </c>
      <c r="F59" s="90">
        <v>23</v>
      </c>
      <c r="G59" s="85">
        <f>SUM(E59:F59)</f>
        <v>40</v>
      </c>
      <c r="H59" s="84">
        <v>28</v>
      </c>
      <c r="I59" s="85">
        <v>26</v>
      </c>
      <c r="J59" s="85">
        <f>SUM(H59:I59)</f>
        <v>54</v>
      </c>
      <c r="K59" s="84">
        <v>75</v>
      </c>
      <c r="L59" s="85">
        <v>66</v>
      </c>
      <c r="M59" s="85">
        <f>SUM(K59:L59)</f>
        <v>141</v>
      </c>
      <c r="N59" s="84">
        <f aca="true" t="shared" si="18" ref="N59:O62">SUM(B59,H59)</f>
        <v>84</v>
      </c>
      <c r="O59" s="85">
        <f t="shared" si="18"/>
        <v>84</v>
      </c>
      <c r="P59" s="85">
        <f>SUM(N59:O59)</f>
        <v>168</v>
      </c>
      <c r="Q59" s="84">
        <f aca="true" t="shared" si="19" ref="Q59:R62">SUM(E59,K59)</f>
        <v>92</v>
      </c>
      <c r="R59" s="85">
        <f t="shared" si="19"/>
        <v>89</v>
      </c>
      <c r="S59" s="85">
        <f>SUM(Q59:R59)</f>
        <v>181</v>
      </c>
      <c r="U59"/>
      <c r="V59"/>
    </row>
    <row r="60" spans="1:22" ht="12.75">
      <c r="A60" s="73" t="s">
        <v>8</v>
      </c>
      <c r="B60" s="84">
        <v>58</v>
      </c>
      <c r="C60" s="85">
        <v>62</v>
      </c>
      <c r="D60" s="85">
        <f>SUM(B60:C60)</f>
        <v>120</v>
      </c>
      <c r="E60" s="84">
        <v>17</v>
      </c>
      <c r="F60" s="85">
        <v>26</v>
      </c>
      <c r="G60" s="85">
        <f>SUM(E60:F60)</f>
        <v>43</v>
      </c>
      <c r="H60" s="84">
        <v>64</v>
      </c>
      <c r="I60" s="85">
        <v>87</v>
      </c>
      <c r="J60" s="85">
        <f>SUM(H60:I60)</f>
        <v>151</v>
      </c>
      <c r="K60" s="84">
        <v>192</v>
      </c>
      <c r="L60" s="85">
        <v>121</v>
      </c>
      <c r="M60" s="85">
        <f>SUM(K60:L60)</f>
        <v>313</v>
      </c>
      <c r="N60" s="84">
        <f t="shared" si="18"/>
        <v>122</v>
      </c>
      <c r="O60" s="85">
        <f t="shared" si="18"/>
        <v>149</v>
      </c>
      <c r="P60" s="85">
        <f>SUM(N60:O60)</f>
        <v>271</v>
      </c>
      <c r="Q60" s="84">
        <f t="shared" si="19"/>
        <v>209</v>
      </c>
      <c r="R60" s="85">
        <f t="shared" si="19"/>
        <v>147</v>
      </c>
      <c r="S60" s="85">
        <f>SUM(Q60:R60)</f>
        <v>356</v>
      </c>
      <c r="U60"/>
      <c r="V60"/>
    </row>
    <row r="61" spans="1:22" ht="12.75">
      <c r="A61" s="73" t="s">
        <v>9</v>
      </c>
      <c r="B61" s="84">
        <v>18</v>
      </c>
      <c r="C61" s="90">
        <v>22</v>
      </c>
      <c r="D61" s="85">
        <f>SUM(B61:C61)</f>
        <v>40</v>
      </c>
      <c r="E61" s="84">
        <v>1</v>
      </c>
      <c r="F61" s="90">
        <v>2</v>
      </c>
      <c r="G61" s="85">
        <f>SUM(E61:F61)</f>
        <v>3</v>
      </c>
      <c r="H61" s="84">
        <v>17</v>
      </c>
      <c r="I61" s="85">
        <v>17</v>
      </c>
      <c r="J61" s="85">
        <f>SUM(H61:I61)</f>
        <v>34</v>
      </c>
      <c r="K61" s="84">
        <v>30</v>
      </c>
      <c r="L61" s="85">
        <v>36</v>
      </c>
      <c r="M61" s="85">
        <f>SUM(K61:L61)</f>
        <v>66</v>
      </c>
      <c r="N61" s="84">
        <f t="shared" si="18"/>
        <v>35</v>
      </c>
      <c r="O61" s="85">
        <f t="shared" si="18"/>
        <v>39</v>
      </c>
      <c r="P61" s="85">
        <f>SUM(N61:O61)</f>
        <v>74</v>
      </c>
      <c r="Q61" s="84">
        <f t="shared" si="19"/>
        <v>31</v>
      </c>
      <c r="R61" s="85">
        <f t="shared" si="19"/>
        <v>38</v>
      </c>
      <c r="S61" s="85">
        <f>SUM(Q61:R61)</f>
        <v>69</v>
      </c>
      <c r="U61"/>
      <c r="V61"/>
    </row>
    <row r="62" spans="1:22" ht="12.75">
      <c r="A62" s="73" t="s">
        <v>10</v>
      </c>
      <c r="B62" s="84">
        <f>7+1</f>
        <v>8</v>
      </c>
      <c r="C62" s="85">
        <f>12+1</f>
        <v>13</v>
      </c>
      <c r="D62" s="85">
        <f>SUM(B62:C62)</f>
        <v>21</v>
      </c>
      <c r="E62" s="84">
        <v>3</v>
      </c>
      <c r="F62" s="90">
        <v>3</v>
      </c>
      <c r="G62" s="85">
        <f>SUM(E62:F62)</f>
        <v>6</v>
      </c>
      <c r="H62" s="84">
        <f>9+0</f>
        <v>9</v>
      </c>
      <c r="I62" s="85">
        <f>14+2</f>
        <v>16</v>
      </c>
      <c r="J62" s="85">
        <f>SUM(H62:I62)</f>
        <v>25</v>
      </c>
      <c r="K62" s="84">
        <v>14</v>
      </c>
      <c r="L62" s="85">
        <v>11</v>
      </c>
      <c r="M62" s="85">
        <f>SUM(K62:L62)</f>
        <v>25</v>
      </c>
      <c r="N62" s="84">
        <f t="shared" si="18"/>
        <v>17</v>
      </c>
      <c r="O62" s="85">
        <f t="shared" si="18"/>
        <v>29</v>
      </c>
      <c r="P62" s="85">
        <f>SUM(N62:O62)</f>
        <v>46</v>
      </c>
      <c r="Q62" s="84">
        <f t="shared" si="19"/>
        <v>17</v>
      </c>
      <c r="R62" s="85">
        <f t="shared" si="19"/>
        <v>14</v>
      </c>
      <c r="S62" s="85">
        <f>SUM(Q62:R62)</f>
        <v>31</v>
      </c>
      <c r="U62"/>
      <c r="V62"/>
    </row>
    <row r="63" spans="1:22" ht="12.75">
      <c r="A63" s="87" t="s">
        <v>4</v>
      </c>
      <c r="B63" s="88">
        <f aca="true" t="shared" si="20" ref="B63:S63">SUM(B59:B62)</f>
        <v>140</v>
      </c>
      <c r="C63" s="89">
        <f t="shared" si="20"/>
        <v>155</v>
      </c>
      <c r="D63" s="89">
        <f t="shared" si="20"/>
        <v>295</v>
      </c>
      <c r="E63" s="88">
        <f t="shared" si="20"/>
        <v>38</v>
      </c>
      <c r="F63" s="89">
        <f t="shared" si="20"/>
        <v>54</v>
      </c>
      <c r="G63" s="89">
        <f t="shared" si="20"/>
        <v>92</v>
      </c>
      <c r="H63" s="88">
        <f t="shared" si="20"/>
        <v>118</v>
      </c>
      <c r="I63" s="89">
        <f t="shared" si="20"/>
        <v>146</v>
      </c>
      <c r="J63" s="89">
        <f t="shared" si="20"/>
        <v>264</v>
      </c>
      <c r="K63" s="88">
        <f t="shared" si="20"/>
        <v>311</v>
      </c>
      <c r="L63" s="89">
        <f t="shared" si="20"/>
        <v>234</v>
      </c>
      <c r="M63" s="89">
        <f t="shared" si="20"/>
        <v>545</v>
      </c>
      <c r="N63" s="88">
        <f t="shared" si="20"/>
        <v>258</v>
      </c>
      <c r="O63" s="89">
        <f t="shared" si="20"/>
        <v>301</v>
      </c>
      <c r="P63" s="89">
        <f t="shared" si="20"/>
        <v>559</v>
      </c>
      <c r="Q63" s="88">
        <f t="shared" si="20"/>
        <v>349</v>
      </c>
      <c r="R63" s="89">
        <f t="shared" si="20"/>
        <v>288</v>
      </c>
      <c r="S63" s="89">
        <f t="shared" si="20"/>
        <v>637</v>
      </c>
      <c r="U63"/>
      <c r="V63"/>
    </row>
    <row r="64" spans="1:22" ht="12.75">
      <c r="A64" s="87"/>
      <c r="B64" s="91"/>
      <c r="C64" s="92"/>
      <c r="D64" s="92"/>
      <c r="E64" s="91"/>
      <c r="F64" s="92"/>
      <c r="G64" s="92"/>
      <c r="H64" s="91"/>
      <c r="I64" s="92"/>
      <c r="J64" s="92"/>
      <c r="K64" s="91"/>
      <c r="L64" s="92"/>
      <c r="M64" s="92"/>
      <c r="N64" s="91"/>
      <c r="O64" s="92"/>
      <c r="P64" s="92"/>
      <c r="Q64" s="91"/>
      <c r="R64" s="92"/>
      <c r="S64" s="92"/>
      <c r="U64"/>
      <c r="V64"/>
    </row>
    <row r="65" spans="1:22" ht="12.75">
      <c r="A65" s="72" t="s">
        <v>15</v>
      </c>
      <c r="B65" s="84"/>
      <c r="C65" s="85"/>
      <c r="D65" s="85"/>
      <c r="E65" s="84"/>
      <c r="F65" s="85"/>
      <c r="G65" s="85"/>
      <c r="H65" s="84"/>
      <c r="I65" s="85"/>
      <c r="J65" s="85"/>
      <c r="K65" s="84"/>
      <c r="L65" s="85"/>
      <c r="M65" s="85"/>
      <c r="N65" s="84"/>
      <c r="O65" s="85"/>
      <c r="P65" s="85"/>
      <c r="Q65" s="84"/>
      <c r="R65" s="85"/>
      <c r="S65" s="85"/>
      <c r="U65"/>
      <c r="V65"/>
    </row>
    <row r="66" spans="1:22" ht="12.75">
      <c r="A66" s="73" t="s">
        <v>42</v>
      </c>
      <c r="B66" s="84">
        <v>66</v>
      </c>
      <c r="C66" s="90">
        <v>65</v>
      </c>
      <c r="D66" s="85">
        <f>SUM(B66:C66)</f>
        <v>131</v>
      </c>
      <c r="E66" s="84">
        <v>6</v>
      </c>
      <c r="F66" s="85">
        <v>4</v>
      </c>
      <c r="G66" s="85">
        <f>SUM(E66:F66)</f>
        <v>10</v>
      </c>
      <c r="H66" s="84">
        <v>59</v>
      </c>
      <c r="I66" s="85">
        <v>110</v>
      </c>
      <c r="J66" s="85">
        <f>SUM(H66:I66)</f>
        <v>169</v>
      </c>
      <c r="K66" s="84">
        <v>74</v>
      </c>
      <c r="L66" s="226">
        <v>92</v>
      </c>
      <c r="M66" s="85">
        <f>SUM(K66:L66)</f>
        <v>166</v>
      </c>
      <c r="N66" s="84">
        <f aca="true" t="shared" si="21" ref="N66:O69">SUM(B66,H66)</f>
        <v>125</v>
      </c>
      <c r="O66" s="85">
        <f t="shared" si="21"/>
        <v>175</v>
      </c>
      <c r="P66" s="85">
        <f>SUM(N66:O66)</f>
        <v>300</v>
      </c>
      <c r="Q66" s="84">
        <f aca="true" t="shared" si="22" ref="Q66:R69">SUM(E66,K66)</f>
        <v>80</v>
      </c>
      <c r="R66" s="85">
        <f t="shared" si="22"/>
        <v>96</v>
      </c>
      <c r="S66" s="85">
        <f>SUM(Q66:R66)</f>
        <v>176</v>
      </c>
      <c r="U66"/>
      <c r="V66"/>
    </row>
    <row r="67" spans="1:22" ht="12.75">
      <c r="A67" s="73" t="s">
        <v>8</v>
      </c>
      <c r="B67" s="84">
        <v>7</v>
      </c>
      <c r="C67" s="85">
        <v>4</v>
      </c>
      <c r="D67" s="85">
        <f>SUM(B67:C67)</f>
        <v>11</v>
      </c>
      <c r="E67" s="84">
        <v>1</v>
      </c>
      <c r="F67" s="85">
        <v>0</v>
      </c>
      <c r="G67" s="85">
        <f>SUM(E67:F67)</f>
        <v>1</v>
      </c>
      <c r="H67" s="84">
        <v>9</v>
      </c>
      <c r="I67" s="85">
        <v>18</v>
      </c>
      <c r="J67" s="85">
        <f>SUM(H67:I67)</f>
        <v>27</v>
      </c>
      <c r="K67" s="84">
        <v>8</v>
      </c>
      <c r="L67" s="85">
        <v>14</v>
      </c>
      <c r="M67" s="85">
        <f>SUM(K67:L67)</f>
        <v>22</v>
      </c>
      <c r="N67" s="84">
        <f t="shared" si="21"/>
        <v>16</v>
      </c>
      <c r="O67" s="85">
        <f t="shared" si="21"/>
        <v>22</v>
      </c>
      <c r="P67" s="85">
        <f>SUM(N67:O67)</f>
        <v>38</v>
      </c>
      <c r="Q67" s="84">
        <f t="shared" si="22"/>
        <v>9</v>
      </c>
      <c r="R67" s="85">
        <f t="shared" si="22"/>
        <v>14</v>
      </c>
      <c r="S67" s="85">
        <f>SUM(Q67:R67)</f>
        <v>23</v>
      </c>
      <c r="U67"/>
      <c r="V67"/>
    </row>
    <row r="68" spans="1:22" ht="12.75">
      <c r="A68" s="73" t="s">
        <v>9</v>
      </c>
      <c r="B68" s="84">
        <v>0</v>
      </c>
      <c r="C68" s="85">
        <v>0</v>
      </c>
      <c r="D68" s="85">
        <f>SUM(B68:C68)</f>
        <v>0</v>
      </c>
      <c r="E68" s="86">
        <v>0</v>
      </c>
      <c r="F68" s="85">
        <v>0</v>
      </c>
      <c r="G68" s="85">
        <f>SUM(E68:F68)</f>
        <v>0</v>
      </c>
      <c r="H68" s="84">
        <v>0</v>
      </c>
      <c r="I68" s="85">
        <v>0</v>
      </c>
      <c r="J68" s="85">
        <f>SUM(H68:I68)</f>
        <v>0</v>
      </c>
      <c r="K68" s="84">
        <v>0</v>
      </c>
      <c r="L68" s="85">
        <v>0</v>
      </c>
      <c r="M68" s="85">
        <f>SUM(K68:L68)</f>
        <v>0</v>
      </c>
      <c r="N68" s="84">
        <f t="shared" si="21"/>
        <v>0</v>
      </c>
      <c r="O68" s="85">
        <f t="shared" si="21"/>
        <v>0</v>
      </c>
      <c r="P68" s="85">
        <f>SUM(N68:O68)</f>
        <v>0</v>
      </c>
      <c r="Q68" s="84">
        <f t="shared" si="22"/>
        <v>0</v>
      </c>
      <c r="R68" s="85">
        <f t="shared" si="22"/>
        <v>0</v>
      </c>
      <c r="S68" s="85">
        <f>SUM(Q68:R68)</f>
        <v>0</v>
      </c>
      <c r="U68"/>
      <c r="V68"/>
    </row>
    <row r="69" spans="1:22" ht="12.75">
      <c r="A69" s="73" t="s">
        <v>10</v>
      </c>
      <c r="B69" s="84">
        <v>817</v>
      </c>
      <c r="C69" s="85">
        <v>797</v>
      </c>
      <c r="D69" s="85">
        <f>SUM(B69:C69)</f>
        <v>1614</v>
      </c>
      <c r="E69" s="84">
        <v>56</v>
      </c>
      <c r="F69" s="85">
        <v>79</v>
      </c>
      <c r="G69" s="85">
        <f>SUM(E69:F69)</f>
        <v>135</v>
      </c>
      <c r="H69" s="84">
        <v>612</v>
      </c>
      <c r="I69" s="85">
        <v>1245</v>
      </c>
      <c r="J69" s="85">
        <f>SUM(H69:I69)</f>
        <v>1857</v>
      </c>
      <c r="K69" s="84">
        <v>505</v>
      </c>
      <c r="L69" s="85">
        <v>752</v>
      </c>
      <c r="M69" s="85">
        <f>SUM(K69:L69)</f>
        <v>1257</v>
      </c>
      <c r="N69" s="84">
        <f t="shared" si="21"/>
        <v>1429</v>
      </c>
      <c r="O69" s="85">
        <f t="shared" si="21"/>
        <v>2042</v>
      </c>
      <c r="P69" s="85">
        <f>SUM(N69:O69)</f>
        <v>3471</v>
      </c>
      <c r="Q69" s="84">
        <f t="shared" si="22"/>
        <v>561</v>
      </c>
      <c r="R69" s="85">
        <f t="shared" si="22"/>
        <v>831</v>
      </c>
      <c r="S69" s="85">
        <f>SUM(Q69:R69)</f>
        <v>1392</v>
      </c>
      <c r="U69"/>
      <c r="V69"/>
    </row>
    <row r="70" spans="1:22" ht="12.75">
      <c r="A70" s="87" t="s">
        <v>4</v>
      </c>
      <c r="B70" s="88">
        <f aca="true" t="shared" si="23" ref="B70:S70">SUM(B66:B69)</f>
        <v>890</v>
      </c>
      <c r="C70" s="89">
        <f t="shared" si="23"/>
        <v>866</v>
      </c>
      <c r="D70" s="89">
        <f t="shared" si="23"/>
        <v>1756</v>
      </c>
      <c r="E70" s="88">
        <f t="shared" si="23"/>
        <v>63</v>
      </c>
      <c r="F70" s="89">
        <f t="shared" si="23"/>
        <v>83</v>
      </c>
      <c r="G70" s="89">
        <f t="shared" si="23"/>
        <v>146</v>
      </c>
      <c r="H70" s="88">
        <f t="shared" si="23"/>
        <v>680</v>
      </c>
      <c r="I70" s="89">
        <f t="shared" si="23"/>
        <v>1373</v>
      </c>
      <c r="J70" s="89">
        <f t="shared" si="23"/>
        <v>2053</v>
      </c>
      <c r="K70" s="88">
        <f>SUM(K66:K69)</f>
        <v>587</v>
      </c>
      <c r="L70" s="89">
        <f t="shared" si="23"/>
        <v>858</v>
      </c>
      <c r="M70" s="89">
        <f t="shared" si="23"/>
        <v>1445</v>
      </c>
      <c r="N70" s="88">
        <f t="shared" si="23"/>
        <v>1570</v>
      </c>
      <c r="O70" s="89">
        <f t="shared" si="23"/>
        <v>2239</v>
      </c>
      <c r="P70" s="89">
        <f t="shared" si="23"/>
        <v>3809</v>
      </c>
      <c r="Q70" s="88">
        <f t="shared" si="23"/>
        <v>650</v>
      </c>
      <c r="R70" s="89">
        <f t="shared" si="23"/>
        <v>941</v>
      </c>
      <c r="S70" s="89">
        <f t="shared" si="23"/>
        <v>1591</v>
      </c>
      <c r="U70"/>
      <c r="V70"/>
    </row>
    <row r="71" spans="1:22" ht="12.75">
      <c r="A71" s="87"/>
      <c r="B71" s="91"/>
      <c r="C71" s="92"/>
      <c r="D71" s="92"/>
      <c r="E71" s="91"/>
      <c r="F71" s="92"/>
      <c r="G71" s="92"/>
      <c r="H71" s="91"/>
      <c r="I71" s="92"/>
      <c r="J71" s="92"/>
      <c r="K71" s="91"/>
      <c r="L71" s="92"/>
      <c r="M71" s="92"/>
      <c r="N71" s="91"/>
      <c r="O71" s="92"/>
      <c r="P71" s="92"/>
      <c r="Q71" s="91"/>
      <c r="R71" s="92"/>
      <c r="S71" s="92"/>
      <c r="U71"/>
      <c r="V71"/>
    </row>
    <row r="72" spans="1:22" s="93" customFormat="1" ht="13.5" customHeight="1">
      <c r="A72" s="200" t="s">
        <v>43</v>
      </c>
      <c r="B72" s="84"/>
      <c r="C72" s="201"/>
      <c r="D72" s="201"/>
      <c r="E72" s="84"/>
      <c r="F72" s="201"/>
      <c r="G72" s="201"/>
      <c r="H72" s="84"/>
      <c r="I72" s="201"/>
      <c r="J72" s="201"/>
      <c r="K72" s="84"/>
      <c r="L72" s="201"/>
      <c r="M72" s="201"/>
      <c r="N72" s="84"/>
      <c r="O72" s="201"/>
      <c r="P72" s="201"/>
      <c r="Q72" s="84"/>
      <c r="R72" s="201"/>
      <c r="S72" s="201"/>
      <c r="U72"/>
      <c r="V72"/>
    </row>
    <row r="73" spans="1:22" s="93" customFormat="1" ht="12.75">
      <c r="A73" s="253" t="s">
        <v>131</v>
      </c>
      <c r="B73" s="91">
        <f>SUM(B70,B63,B56,B46,B43,B36,B29,B22,B15,B49)</f>
        <v>24383</v>
      </c>
      <c r="C73" s="92">
        <f aca="true" t="shared" si="24" ref="C73:S73">SUM(C70,C63,C56,C46,C43,C36,C29,C22,C15,C49)</f>
        <v>51188</v>
      </c>
      <c r="D73" s="161">
        <f t="shared" si="24"/>
        <v>75571</v>
      </c>
      <c r="E73" s="91">
        <f t="shared" si="24"/>
        <v>5611</v>
      </c>
      <c r="F73" s="92">
        <f t="shared" si="24"/>
        <v>15692</v>
      </c>
      <c r="G73" s="161">
        <f t="shared" si="24"/>
        <v>21303</v>
      </c>
      <c r="H73" s="91">
        <f t="shared" si="24"/>
        <v>6381</v>
      </c>
      <c r="I73" s="92">
        <f t="shared" si="24"/>
        <v>30295</v>
      </c>
      <c r="J73" s="161">
        <f t="shared" si="24"/>
        <v>36676</v>
      </c>
      <c r="K73" s="91">
        <f t="shared" si="24"/>
        <v>6423</v>
      </c>
      <c r="L73" s="92">
        <f t="shared" si="24"/>
        <v>15764</v>
      </c>
      <c r="M73" s="161">
        <f t="shared" si="24"/>
        <v>22187</v>
      </c>
      <c r="N73" s="91">
        <f t="shared" si="24"/>
        <v>30764</v>
      </c>
      <c r="O73" s="92">
        <f t="shared" si="24"/>
        <v>81483</v>
      </c>
      <c r="P73" s="161">
        <f t="shared" si="24"/>
        <v>112247</v>
      </c>
      <c r="Q73" s="91">
        <f t="shared" si="24"/>
        <v>12034</v>
      </c>
      <c r="R73" s="92">
        <f t="shared" si="24"/>
        <v>31456</v>
      </c>
      <c r="S73" s="92">
        <f t="shared" si="24"/>
        <v>43490</v>
      </c>
      <c r="U73"/>
      <c r="V73"/>
    </row>
    <row r="75" ht="12.75">
      <c r="A75" s="219" t="s">
        <v>64</v>
      </c>
    </row>
    <row r="76" ht="12.75">
      <c r="A76" s="232"/>
    </row>
  </sheetData>
  <sheetProtection/>
  <printOptions horizontalCentered="1"/>
  <pageMargins left="0.1968503937007874" right="0.1968503937007874" top="0.1968503937007874" bottom="0.1968503937007874" header="0.5118110236220472" footer="0.5118110236220472"/>
  <pageSetup fitToHeight="2" horizontalDpi="1200" verticalDpi="1200" orientation="landscape" paperSize="9" scale="55"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V68"/>
  <sheetViews>
    <sheetView zoomScalePageLayoutView="0" workbookViewId="0" topLeftCell="A1">
      <selection activeCell="A79" sqref="A79"/>
    </sheetView>
  </sheetViews>
  <sheetFormatPr defaultColWidth="9.28125" defaultRowHeight="12.75"/>
  <cols>
    <col min="1" max="1" width="28.7109375" style="97" customWidth="1"/>
    <col min="2" max="19" width="7.421875" style="97" customWidth="1"/>
    <col min="20" max="16384" width="9.28125" style="97" customWidth="1"/>
  </cols>
  <sheetData>
    <row r="1" spans="1:19" ht="12.75">
      <c r="A1" s="94" t="s">
        <v>122</v>
      </c>
      <c r="B1" s="95"/>
      <c r="C1" s="95"/>
      <c r="D1" s="95"/>
      <c r="E1" s="96"/>
      <c r="F1" s="95"/>
      <c r="G1" s="95"/>
      <c r="H1" s="95"/>
      <c r="I1" s="95"/>
      <c r="J1" s="95"/>
      <c r="K1" s="95"/>
      <c r="L1" s="95"/>
      <c r="M1" s="95"/>
      <c r="N1" s="95"/>
      <c r="O1" s="95"/>
      <c r="P1" s="95"/>
      <c r="Q1" s="95"/>
      <c r="R1" s="95"/>
      <c r="S1" s="95"/>
    </row>
    <row r="2" spans="1:19" ht="12.75">
      <c r="A2" s="98" t="s">
        <v>38</v>
      </c>
      <c r="B2" s="99"/>
      <c r="C2" s="99"/>
      <c r="D2" s="98"/>
      <c r="E2" s="100"/>
      <c r="F2" s="99"/>
      <c r="G2" s="101"/>
      <c r="H2" s="99"/>
      <c r="I2" s="101"/>
      <c r="J2" s="99"/>
      <c r="K2" s="99"/>
      <c r="L2" s="99"/>
      <c r="M2" s="99"/>
      <c r="N2" s="99"/>
      <c r="O2" s="99"/>
      <c r="P2" s="99"/>
      <c r="Q2" s="99"/>
      <c r="R2" s="99"/>
      <c r="S2" s="99"/>
    </row>
    <row r="3" spans="1:19" ht="11.25" customHeight="1">
      <c r="A3" s="98"/>
      <c r="B3" s="99"/>
      <c r="C3" s="99"/>
      <c r="D3" s="99"/>
      <c r="E3" s="100"/>
      <c r="F3" s="98"/>
      <c r="G3" s="101"/>
      <c r="H3" s="99"/>
      <c r="I3" s="101"/>
      <c r="J3" s="99"/>
      <c r="K3" s="99"/>
      <c r="L3" s="99"/>
      <c r="M3" s="99"/>
      <c r="N3" s="99"/>
      <c r="O3" s="99"/>
      <c r="P3" s="99"/>
      <c r="Q3" s="99"/>
      <c r="R3" s="99"/>
      <c r="S3" s="99"/>
    </row>
    <row r="4" spans="1:19" ht="12.75">
      <c r="A4" s="98" t="s">
        <v>49</v>
      </c>
      <c r="B4" s="99"/>
      <c r="C4" s="99"/>
      <c r="D4" s="99"/>
      <c r="E4" s="100"/>
      <c r="F4" s="98"/>
      <c r="G4" s="101"/>
      <c r="H4" s="99"/>
      <c r="I4" s="101"/>
      <c r="J4" s="99"/>
      <c r="K4" s="99"/>
      <c r="L4" s="99"/>
      <c r="M4" s="99"/>
      <c r="N4" s="99"/>
      <c r="O4" s="99"/>
      <c r="P4" s="99"/>
      <c r="Q4" s="99"/>
      <c r="R4" s="99"/>
      <c r="S4" s="99"/>
    </row>
    <row r="5" spans="1:19" ht="13.5" thickBot="1">
      <c r="A5" s="95"/>
      <c r="B5" s="95"/>
      <c r="C5" s="95"/>
      <c r="D5" s="95"/>
      <c r="E5" s="96"/>
      <c r="F5" s="95"/>
      <c r="G5" s="95"/>
      <c r="H5" s="95"/>
      <c r="I5" s="95"/>
      <c r="J5" s="95"/>
      <c r="K5" s="95"/>
      <c r="L5" s="95"/>
      <c r="M5" s="95"/>
      <c r="N5" s="95"/>
      <c r="O5" s="95"/>
      <c r="P5" s="95"/>
      <c r="Q5" s="95"/>
      <c r="R5" s="95"/>
      <c r="S5" s="95"/>
    </row>
    <row r="6" spans="1:19" ht="12.75">
      <c r="A6" s="102"/>
      <c r="B6" s="103" t="s">
        <v>36</v>
      </c>
      <c r="C6" s="104"/>
      <c r="D6" s="104"/>
      <c r="E6" s="104"/>
      <c r="F6" s="104"/>
      <c r="G6" s="104"/>
      <c r="H6" s="103" t="s">
        <v>37</v>
      </c>
      <c r="I6" s="104"/>
      <c r="J6" s="104"/>
      <c r="K6" s="104"/>
      <c r="L6" s="104"/>
      <c r="M6" s="104"/>
      <c r="N6" s="103" t="s">
        <v>4</v>
      </c>
      <c r="O6" s="104"/>
      <c r="P6" s="104"/>
      <c r="Q6" s="104"/>
      <c r="R6" s="104"/>
      <c r="S6" s="104"/>
    </row>
    <row r="7" spans="1:19" ht="12.75">
      <c r="A7" s="96"/>
      <c r="B7" s="105" t="s">
        <v>24</v>
      </c>
      <c r="C7" s="106"/>
      <c r="D7" s="106"/>
      <c r="E7" s="105" t="s">
        <v>25</v>
      </c>
      <c r="F7" s="106"/>
      <c r="G7" s="106"/>
      <c r="H7" s="105" t="s">
        <v>24</v>
      </c>
      <c r="I7" s="106"/>
      <c r="J7" s="106"/>
      <c r="K7" s="105" t="s">
        <v>25</v>
      </c>
      <c r="L7" s="106"/>
      <c r="M7" s="106"/>
      <c r="N7" s="105" t="s">
        <v>24</v>
      </c>
      <c r="O7" s="106"/>
      <c r="P7" s="106"/>
      <c r="Q7" s="105" t="s">
        <v>25</v>
      </c>
      <c r="R7" s="106"/>
      <c r="S7" s="106"/>
    </row>
    <row r="8" spans="1:19" s="160" customFormat="1" ht="12.75">
      <c r="A8" s="159"/>
      <c r="B8" s="179" t="s">
        <v>5</v>
      </c>
      <c r="C8" s="180" t="s">
        <v>6</v>
      </c>
      <c r="D8" s="180" t="s">
        <v>4</v>
      </c>
      <c r="E8" s="179" t="s">
        <v>5</v>
      </c>
      <c r="F8" s="180" t="s">
        <v>6</v>
      </c>
      <c r="G8" s="180" t="s">
        <v>4</v>
      </c>
      <c r="H8" s="179" t="s">
        <v>5</v>
      </c>
      <c r="I8" s="180" t="s">
        <v>6</v>
      </c>
      <c r="J8" s="180" t="s">
        <v>4</v>
      </c>
      <c r="K8" s="179" t="s">
        <v>5</v>
      </c>
      <c r="L8" s="180" t="s">
        <v>6</v>
      </c>
      <c r="M8" s="180" t="s">
        <v>4</v>
      </c>
      <c r="N8" s="179" t="s">
        <v>5</v>
      </c>
      <c r="O8" s="180" t="s">
        <v>6</v>
      </c>
      <c r="P8" s="180" t="s">
        <v>4</v>
      </c>
      <c r="Q8" s="179" t="s">
        <v>5</v>
      </c>
      <c r="R8" s="180" t="s">
        <v>6</v>
      </c>
      <c r="S8" s="180" t="s">
        <v>4</v>
      </c>
    </row>
    <row r="9" spans="1:19" ht="12.75">
      <c r="A9" s="94"/>
      <c r="B9" s="107"/>
      <c r="C9" s="94"/>
      <c r="D9" s="94"/>
      <c r="E9" s="108"/>
      <c r="F9" s="95"/>
      <c r="G9" s="95"/>
      <c r="H9" s="108"/>
      <c r="I9" s="95"/>
      <c r="J9" s="95"/>
      <c r="K9" s="108"/>
      <c r="L9" s="95"/>
      <c r="M9" s="95"/>
      <c r="N9" s="108"/>
      <c r="O9" s="95"/>
      <c r="P9" s="95"/>
      <c r="Q9" s="108"/>
      <c r="R9" s="95"/>
      <c r="S9" s="95"/>
    </row>
    <row r="10" spans="1:19" ht="12.75">
      <c r="A10" s="94" t="s">
        <v>7</v>
      </c>
      <c r="B10" s="109"/>
      <c r="C10" s="110"/>
      <c r="D10" s="110"/>
      <c r="E10" s="109"/>
      <c r="F10" s="110"/>
      <c r="G10" s="110"/>
      <c r="H10" s="109"/>
      <c r="I10" s="110"/>
      <c r="J10" s="110"/>
      <c r="K10" s="109"/>
      <c r="L10" s="110"/>
      <c r="M10" s="110"/>
      <c r="N10" s="109"/>
      <c r="O10" s="110"/>
      <c r="P10" s="110"/>
      <c r="Q10" s="109"/>
      <c r="R10" s="110"/>
      <c r="S10" s="110"/>
    </row>
    <row r="11" spans="1:22" ht="12.75">
      <c r="A11" s="95" t="s">
        <v>44</v>
      </c>
      <c r="B11" s="109">
        <v>5425</v>
      </c>
      <c r="C11" s="110">
        <v>20410</v>
      </c>
      <c r="D11" s="110">
        <f>(B11+C11)</f>
        <v>25835</v>
      </c>
      <c r="E11" s="109">
        <v>820</v>
      </c>
      <c r="F11" s="110">
        <v>6372</v>
      </c>
      <c r="G11" s="110">
        <f>(E11+F11)</f>
        <v>7192</v>
      </c>
      <c r="H11" s="109">
        <v>1653</v>
      </c>
      <c r="I11" s="110">
        <v>12020</v>
      </c>
      <c r="J11" s="110">
        <f>(H11+I11)</f>
        <v>13673</v>
      </c>
      <c r="K11" s="111">
        <v>805</v>
      </c>
      <c r="L11" s="110">
        <v>6237</v>
      </c>
      <c r="M11" s="110">
        <f>SUM(K11:L11)</f>
        <v>7042</v>
      </c>
      <c r="N11" s="109">
        <f aca="true" t="shared" si="0" ref="N11:S11">SUM(B11,H11)</f>
        <v>7078</v>
      </c>
      <c r="O11" s="110">
        <f t="shared" si="0"/>
        <v>32430</v>
      </c>
      <c r="P11" s="110">
        <f t="shared" si="0"/>
        <v>39508</v>
      </c>
      <c r="Q11" s="109">
        <f t="shared" si="0"/>
        <v>1625</v>
      </c>
      <c r="R11" s="110">
        <f t="shared" si="0"/>
        <v>12609</v>
      </c>
      <c r="S11" s="110">
        <f t="shared" si="0"/>
        <v>14234</v>
      </c>
      <c r="U11"/>
      <c r="V11"/>
    </row>
    <row r="12" spans="1:22" ht="12.75">
      <c r="A12" s="95" t="s">
        <v>52</v>
      </c>
      <c r="B12" s="109">
        <v>4866</v>
      </c>
      <c r="C12" s="110">
        <v>20816</v>
      </c>
      <c r="D12" s="110">
        <f>(B12+C12)</f>
        <v>25682</v>
      </c>
      <c r="E12" s="109">
        <v>886</v>
      </c>
      <c r="F12" s="110">
        <v>6906</v>
      </c>
      <c r="G12" s="110">
        <f>(E12+F12)</f>
        <v>7792</v>
      </c>
      <c r="H12" s="109">
        <v>1384</v>
      </c>
      <c r="I12" s="110">
        <v>11987</v>
      </c>
      <c r="J12" s="110">
        <f>(H12+I12)</f>
        <v>13371</v>
      </c>
      <c r="K12" s="111">
        <v>862</v>
      </c>
      <c r="L12" s="110">
        <v>6319</v>
      </c>
      <c r="M12" s="110">
        <f>SUM(K12:L12)</f>
        <v>7181</v>
      </c>
      <c r="N12" s="109">
        <f aca="true" t="shared" si="1" ref="N12:S12">SUM(B12,H12)</f>
        <v>6250</v>
      </c>
      <c r="O12" s="110">
        <f t="shared" si="1"/>
        <v>32803</v>
      </c>
      <c r="P12" s="110">
        <f t="shared" si="1"/>
        <v>39053</v>
      </c>
      <c r="Q12" s="109">
        <f t="shared" si="1"/>
        <v>1748</v>
      </c>
      <c r="R12" s="110">
        <f t="shared" si="1"/>
        <v>13225</v>
      </c>
      <c r="S12" s="110">
        <f t="shared" si="1"/>
        <v>14973</v>
      </c>
      <c r="U12"/>
      <c r="V12"/>
    </row>
    <row r="13" spans="1:22" ht="12.75">
      <c r="A13" s="233" t="s">
        <v>73</v>
      </c>
      <c r="B13" s="109">
        <v>4577</v>
      </c>
      <c r="C13" s="110">
        <v>22347</v>
      </c>
      <c r="D13" s="110">
        <f>(B13+C13)</f>
        <v>26924</v>
      </c>
      <c r="E13" s="109">
        <v>886</v>
      </c>
      <c r="F13" s="110">
        <v>7641</v>
      </c>
      <c r="G13" s="110">
        <f>(E13+F13)</f>
        <v>8527</v>
      </c>
      <c r="H13" s="109">
        <v>1376</v>
      </c>
      <c r="I13" s="110">
        <v>11898</v>
      </c>
      <c r="J13" s="110">
        <f>(H13+I13)</f>
        <v>13274</v>
      </c>
      <c r="K13" s="111">
        <v>967</v>
      </c>
      <c r="L13" s="110">
        <v>6301</v>
      </c>
      <c r="M13" s="110">
        <f>SUM(K13:L13)</f>
        <v>7268</v>
      </c>
      <c r="N13" s="109">
        <f aca="true" t="shared" si="2" ref="N13:S13">SUM(B13,H13)</f>
        <v>5953</v>
      </c>
      <c r="O13" s="110">
        <f t="shared" si="2"/>
        <v>34245</v>
      </c>
      <c r="P13" s="110">
        <f t="shared" si="2"/>
        <v>40198</v>
      </c>
      <c r="Q13" s="109">
        <f t="shared" si="2"/>
        <v>1853</v>
      </c>
      <c r="R13" s="110">
        <f t="shared" si="2"/>
        <v>13942</v>
      </c>
      <c r="S13" s="110">
        <f t="shared" si="2"/>
        <v>15795</v>
      </c>
      <c r="U13"/>
      <c r="V13"/>
    </row>
    <row r="14" spans="1:22" ht="12.75">
      <c r="A14" s="95" t="s">
        <v>132</v>
      </c>
      <c r="B14" s="109">
        <v>4736</v>
      </c>
      <c r="C14" s="110">
        <v>24732</v>
      </c>
      <c r="D14" s="110">
        <f>(B14+C14)</f>
        <v>29468</v>
      </c>
      <c r="E14" s="109">
        <v>1083</v>
      </c>
      <c r="F14" s="110">
        <v>7929</v>
      </c>
      <c r="G14" s="110">
        <f>(E14+F14)</f>
        <v>9012</v>
      </c>
      <c r="H14" s="109">
        <v>1053</v>
      </c>
      <c r="I14" s="110">
        <v>11827</v>
      </c>
      <c r="J14" s="110">
        <f>(H14+I14)</f>
        <v>12880</v>
      </c>
      <c r="K14" s="111">
        <v>907</v>
      </c>
      <c r="L14" s="110">
        <v>5877</v>
      </c>
      <c r="M14" s="110">
        <f>SUM(K14:L14)</f>
        <v>6784</v>
      </c>
      <c r="N14" s="109">
        <f aca="true" t="shared" si="3" ref="N14:S14">SUM(B14,H14)</f>
        <v>5789</v>
      </c>
      <c r="O14" s="110">
        <f t="shared" si="3"/>
        <v>36559</v>
      </c>
      <c r="P14" s="110">
        <f t="shared" si="3"/>
        <v>42348</v>
      </c>
      <c r="Q14" s="109">
        <f t="shared" si="3"/>
        <v>1990</v>
      </c>
      <c r="R14" s="110">
        <f t="shared" si="3"/>
        <v>13806</v>
      </c>
      <c r="S14" s="110">
        <f t="shared" si="3"/>
        <v>15796</v>
      </c>
      <c r="U14"/>
      <c r="V14"/>
    </row>
    <row r="15" spans="1:22" ht="12.75">
      <c r="A15" s="96"/>
      <c r="B15" s="109"/>
      <c r="C15" s="110"/>
      <c r="D15" s="110"/>
      <c r="E15" s="109"/>
      <c r="F15" s="110"/>
      <c r="G15" s="110"/>
      <c r="H15" s="109"/>
      <c r="I15" s="110"/>
      <c r="J15" s="110"/>
      <c r="K15" s="109"/>
      <c r="L15" s="110"/>
      <c r="M15" s="110"/>
      <c r="N15" s="109"/>
      <c r="O15" s="110"/>
      <c r="P15" s="110"/>
      <c r="Q15" s="109"/>
      <c r="R15" s="110"/>
      <c r="S15" s="110"/>
      <c r="U15"/>
      <c r="V15"/>
    </row>
    <row r="16" spans="1:22" ht="12.75">
      <c r="A16" s="94" t="s">
        <v>11</v>
      </c>
      <c r="B16" s="109"/>
      <c r="C16" s="110"/>
      <c r="D16" s="110"/>
      <c r="E16" s="109"/>
      <c r="F16" s="110"/>
      <c r="G16" s="110"/>
      <c r="H16" s="109"/>
      <c r="I16" s="110"/>
      <c r="J16" s="110"/>
      <c r="K16" s="109"/>
      <c r="L16" s="110"/>
      <c r="M16" s="110"/>
      <c r="N16" s="109"/>
      <c r="O16" s="110"/>
      <c r="P16" s="110"/>
      <c r="Q16" s="109"/>
      <c r="R16" s="110"/>
      <c r="S16" s="110"/>
      <c r="U16"/>
      <c r="V16"/>
    </row>
    <row r="17" spans="1:22" ht="12.75">
      <c r="A17" s="95" t="s">
        <v>44</v>
      </c>
      <c r="B17" s="109">
        <v>758</v>
      </c>
      <c r="C17" s="110">
        <v>2571</v>
      </c>
      <c r="D17" s="110">
        <f>SUM(B17:C17)</f>
        <v>3329</v>
      </c>
      <c r="E17" s="109">
        <v>176</v>
      </c>
      <c r="F17" s="110">
        <v>967</v>
      </c>
      <c r="G17" s="110">
        <f>SUM(E17:F17)</f>
        <v>1143</v>
      </c>
      <c r="H17" s="109">
        <v>183</v>
      </c>
      <c r="I17" s="110">
        <v>1068</v>
      </c>
      <c r="J17" s="110">
        <f>SUM(H17:I17)</f>
        <v>1251</v>
      </c>
      <c r="K17" s="111">
        <v>90</v>
      </c>
      <c r="L17" s="110">
        <v>575</v>
      </c>
      <c r="M17" s="110">
        <f>SUM(K17:L17)</f>
        <v>665</v>
      </c>
      <c r="N17" s="109">
        <f aca="true" t="shared" si="4" ref="N17:S17">SUM(B17,H17)</f>
        <v>941</v>
      </c>
      <c r="O17" s="110">
        <f t="shared" si="4"/>
        <v>3639</v>
      </c>
      <c r="P17" s="110">
        <f t="shared" si="4"/>
        <v>4580</v>
      </c>
      <c r="Q17" s="109">
        <f t="shared" si="4"/>
        <v>266</v>
      </c>
      <c r="R17" s="110">
        <f t="shared" si="4"/>
        <v>1542</v>
      </c>
      <c r="S17" s="110">
        <f t="shared" si="4"/>
        <v>1808</v>
      </c>
      <c r="U17"/>
      <c r="V17"/>
    </row>
    <row r="18" spans="1:22" ht="12.75">
      <c r="A18" s="95" t="s">
        <v>52</v>
      </c>
      <c r="B18" s="109">
        <v>736</v>
      </c>
      <c r="C18" s="110">
        <v>2627</v>
      </c>
      <c r="D18" s="110">
        <f>SUM(B18:C18)</f>
        <v>3363</v>
      </c>
      <c r="E18" s="109">
        <v>159</v>
      </c>
      <c r="F18" s="110">
        <v>1050</v>
      </c>
      <c r="G18" s="110">
        <f>SUM(E18:F18)</f>
        <v>1209</v>
      </c>
      <c r="H18" s="109">
        <v>146</v>
      </c>
      <c r="I18" s="110">
        <v>1285</v>
      </c>
      <c r="J18" s="110">
        <f>SUM(H18:I18)</f>
        <v>1431</v>
      </c>
      <c r="K18" s="111">
        <v>102</v>
      </c>
      <c r="L18" s="110">
        <v>630</v>
      </c>
      <c r="M18" s="110">
        <f>SUM(K18:L18)</f>
        <v>732</v>
      </c>
      <c r="N18" s="109">
        <f aca="true" t="shared" si="5" ref="N18:S19">SUM(B18,H18)</f>
        <v>882</v>
      </c>
      <c r="O18" s="110">
        <f t="shared" si="5"/>
        <v>3912</v>
      </c>
      <c r="P18" s="110">
        <f t="shared" si="5"/>
        <v>4794</v>
      </c>
      <c r="Q18" s="109">
        <f t="shared" si="5"/>
        <v>261</v>
      </c>
      <c r="R18" s="110">
        <f t="shared" si="5"/>
        <v>1680</v>
      </c>
      <c r="S18" s="110">
        <f t="shared" si="5"/>
        <v>1941</v>
      </c>
      <c r="U18"/>
      <c r="V18"/>
    </row>
    <row r="19" spans="1:22" ht="12.75">
      <c r="A19" s="225" t="s">
        <v>73</v>
      </c>
      <c r="B19" s="109">
        <v>772</v>
      </c>
      <c r="C19" s="110">
        <v>2935</v>
      </c>
      <c r="D19" s="110">
        <f>SUM(B19:C19)</f>
        <v>3707</v>
      </c>
      <c r="E19" s="109">
        <v>154</v>
      </c>
      <c r="F19" s="110">
        <v>847</v>
      </c>
      <c r="G19" s="110">
        <f>SUM(E19:F19)</f>
        <v>1001</v>
      </c>
      <c r="H19" s="109">
        <v>138</v>
      </c>
      <c r="I19" s="110">
        <v>1369</v>
      </c>
      <c r="J19" s="110">
        <f>SUM(H19:I19)</f>
        <v>1507</v>
      </c>
      <c r="K19" s="111">
        <v>123</v>
      </c>
      <c r="L19" s="110">
        <v>601</v>
      </c>
      <c r="M19" s="110">
        <f>SUM(K19:L19)</f>
        <v>724</v>
      </c>
      <c r="N19" s="109">
        <f t="shared" si="5"/>
        <v>910</v>
      </c>
      <c r="O19" s="110">
        <f t="shared" si="5"/>
        <v>4304</v>
      </c>
      <c r="P19" s="110">
        <f t="shared" si="5"/>
        <v>5214</v>
      </c>
      <c r="Q19" s="109">
        <f t="shared" si="5"/>
        <v>277</v>
      </c>
      <c r="R19" s="110">
        <f t="shared" si="5"/>
        <v>1448</v>
      </c>
      <c r="S19" s="110">
        <f t="shared" si="5"/>
        <v>1725</v>
      </c>
      <c r="U19"/>
      <c r="V19"/>
    </row>
    <row r="20" spans="1:22" ht="12.75">
      <c r="A20" s="225" t="s">
        <v>132</v>
      </c>
      <c r="B20" s="109">
        <v>735</v>
      </c>
      <c r="C20" s="110">
        <v>2871</v>
      </c>
      <c r="D20" s="110">
        <f>SUM(B20:C20)</f>
        <v>3606</v>
      </c>
      <c r="E20" s="109">
        <v>145</v>
      </c>
      <c r="F20" s="110">
        <v>928</v>
      </c>
      <c r="G20" s="110">
        <f>SUM(E20:F20)</f>
        <v>1073</v>
      </c>
      <c r="H20" s="109">
        <v>145</v>
      </c>
      <c r="I20" s="110">
        <v>1454</v>
      </c>
      <c r="J20" s="110">
        <f>SUM(H20:I20)</f>
        <v>1599</v>
      </c>
      <c r="K20" s="111">
        <v>87</v>
      </c>
      <c r="L20" s="110">
        <v>593</v>
      </c>
      <c r="M20" s="110">
        <f>SUM(K20:L20)</f>
        <v>680</v>
      </c>
      <c r="N20" s="109">
        <f aca="true" t="shared" si="6" ref="N20:S20">SUM(B20,H20)</f>
        <v>880</v>
      </c>
      <c r="O20" s="110">
        <f t="shared" si="6"/>
        <v>4325</v>
      </c>
      <c r="P20" s="110">
        <f t="shared" si="6"/>
        <v>5205</v>
      </c>
      <c r="Q20" s="109">
        <f t="shared" si="6"/>
        <v>232</v>
      </c>
      <c r="R20" s="110">
        <f t="shared" si="6"/>
        <v>1521</v>
      </c>
      <c r="S20" s="110">
        <f t="shared" si="6"/>
        <v>1753</v>
      </c>
      <c r="U20"/>
      <c r="V20"/>
    </row>
    <row r="21" spans="1:22" ht="12.75">
      <c r="A21" s="95"/>
      <c r="B21" s="109"/>
      <c r="C21" s="110"/>
      <c r="D21" s="110"/>
      <c r="E21" s="109"/>
      <c r="F21" s="110"/>
      <c r="G21" s="110"/>
      <c r="H21" s="109"/>
      <c r="I21" s="110"/>
      <c r="J21" s="110"/>
      <c r="K21" s="109"/>
      <c r="L21" s="110"/>
      <c r="M21" s="110"/>
      <c r="N21" s="109"/>
      <c r="O21" s="110"/>
      <c r="P21" s="110"/>
      <c r="Q21" s="109"/>
      <c r="R21" s="110"/>
      <c r="S21" s="110"/>
      <c r="U21"/>
      <c r="V21"/>
    </row>
    <row r="22" spans="1:22" ht="12.75">
      <c r="A22" s="94" t="s">
        <v>12</v>
      </c>
      <c r="B22" s="109"/>
      <c r="C22" s="110"/>
      <c r="D22" s="110"/>
      <c r="E22" s="109"/>
      <c r="F22" s="110"/>
      <c r="G22" s="110"/>
      <c r="H22" s="109"/>
      <c r="I22" s="110"/>
      <c r="J22" s="110"/>
      <c r="K22" s="109"/>
      <c r="L22" s="110"/>
      <c r="M22" s="110"/>
      <c r="N22" s="109"/>
      <c r="O22" s="110"/>
      <c r="P22" s="110"/>
      <c r="Q22" s="109"/>
      <c r="R22" s="110"/>
      <c r="S22" s="110"/>
      <c r="U22"/>
      <c r="V22"/>
    </row>
    <row r="23" spans="1:22" ht="12.75">
      <c r="A23" s="95" t="s">
        <v>44</v>
      </c>
      <c r="B23" s="109">
        <v>15534</v>
      </c>
      <c r="C23" s="110">
        <v>15250</v>
      </c>
      <c r="D23" s="110">
        <f>SUM(B23:C23)</f>
        <v>30784</v>
      </c>
      <c r="E23" s="109">
        <v>3870</v>
      </c>
      <c r="F23" s="110">
        <v>5542</v>
      </c>
      <c r="G23" s="110">
        <f>SUM(E23:F23)</f>
        <v>9412</v>
      </c>
      <c r="H23" s="109">
        <v>3566</v>
      </c>
      <c r="I23" s="110">
        <v>11738</v>
      </c>
      <c r="J23" s="110">
        <f>SUM(H23:I23)</f>
        <v>15304</v>
      </c>
      <c r="K23" s="111">
        <v>2233</v>
      </c>
      <c r="L23" s="110">
        <v>4579</v>
      </c>
      <c r="M23" s="110">
        <f>SUM(K23:L23)</f>
        <v>6812</v>
      </c>
      <c r="N23" s="109">
        <f aca="true" t="shared" si="7" ref="N23:S23">SUM(B23,H23)</f>
        <v>19100</v>
      </c>
      <c r="O23" s="110">
        <f t="shared" si="7"/>
        <v>26988</v>
      </c>
      <c r="P23" s="110">
        <f t="shared" si="7"/>
        <v>46088</v>
      </c>
      <c r="Q23" s="109">
        <f t="shared" si="7"/>
        <v>6103</v>
      </c>
      <c r="R23" s="110">
        <f t="shared" si="7"/>
        <v>10121</v>
      </c>
      <c r="S23" s="110">
        <f t="shared" si="7"/>
        <v>16224</v>
      </c>
      <c r="U23"/>
      <c r="V23"/>
    </row>
    <row r="24" spans="1:22" ht="11.25" customHeight="1">
      <c r="A24" s="95" t="s">
        <v>52</v>
      </c>
      <c r="B24" s="109">
        <v>14830</v>
      </c>
      <c r="C24" s="110">
        <v>15400</v>
      </c>
      <c r="D24" s="110">
        <f>SUM(B24:C24)</f>
        <v>30230</v>
      </c>
      <c r="E24" s="109">
        <f>4086-35</f>
        <v>4051</v>
      </c>
      <c r="F24" s="110">
        <f>5657-175</f>
        <v>5482</v>
      </c>
      <c r="G24" s="110">
        <f>SUM(E24:F24)</f>
        <v>9533</v>
      </c>
      <c r="H24" s="109">
        <f>3877-15</f>
        <v>3862</v>
      </c>
      <c r="I24" s="110">
        <v>12407</v>
      </c>
      <c r="J24" s="110">
        <f>SUM(H24:I24)</f>
        <v>16269</v>
      </c>
      <c r="K24" s="111">
        <f>2390-11</f>
        <v>2379</v>
      </c>
      <c r="L24" s="110">
        <f>4712-89</f>
        <v>4623</v>
      </c>
      <c r="M24" s="110">
        <f>SUM(K24:L24)</f>
        <v>7002</v>
      </c>
      <c r="N24" s="109">
        <f aca="true" t="shared" si="8" ref="N24:S25">SUM(B24,H24)</f>
        <v>18692</v>
      </c>
      <c r="O24" s="110">
        <f t="shared" si="8"/>
        <v>27807</v>
      </c>
      <c r="P24" s="110">
        <f t="shared" si="8"/>
        <v>46499</v>
      </c>
      <c r="Q24" s="109">
        <f t="shared" si="8"/>
        <v>6430</v>
      </c>
      <c r="R24" s="110">
        <f t="shared" si="8"/>
        <v>10105</v>
      </c>
      <c r="S24" s="110">
        <f t="shared" si="8"/>
        <v>16535</v>
      </c>
      <c r="U24"/>
      <c r="V24"/>
    </row>
    <row r="25" spans="1:22" ht="12.75">
      <c r="A25" s="225" t="s">
        <v>73</v>
      </c>
      <c r="B25" s="109">
        <v>14397</v>
      </c>
      <c r="C25" s="110">
        <v>16127</v>
      </c>
      <c r="D25" s="110">
        <f>SUM(B25:C25)</f>
        <v>30524</v>
      </c>
      <c r="E25" s="109">
        <v>3025</v>
      </c>
      <c r="F25" s="110">
        <v>4204</v>
      </c>
      <c r="G25" s="110">
        <f>SUM(E25:F25)</f>
        <v>7229</v>
      </c>
      <c r="H25" s="109">
        <v>3729</v>
      </c>
      <c r="I25" s="110">
        <v>12589</v>
      </c>
      <c r="J25" s="110">
        <f>SUM(H25:I25)</f>
        <v>16318</v>
      </c>
      <c r="K25" s="111">
        <v>2338</v>
      </c>
      <c r="L25" s="110">
        <v>4520</v>
      </c>
      <c r="M25" s="110">
        <f>SUM(K25:L25)</f>
        <v>6858</v>
      </c>
      <c r="N25" s="109">
        <f t="shared" si="8"/>
        <v>18126</v>
      </c>
      <c r="O25" s="110">
        <f t="shared" si="8"/>
        <v>28716</v>
      </c>
      <c r="P25" s="110">
        <f t="shared" si="8"/>
        <v>46842</v>
      </c>
      <c r="Q25" s="109">
        <f t="shared" si="8"/>
        <v>5363</v>
      </c>
      <c r="R25" s="110">
        <f t="shared" si="8"/>
        <v>8724</v>
      </c>
      <c r="S25" s="110">
        <f t="shared" si="8"/>
        <v>14087</v>
      </c>
      <c r="U25"/>
      <c r="V25"/>
    </row>
    <row r="26" spans="1:22" ht="12.75">
      <c r="A26" s="225" t="s">
        <v>132</v>
      </c>
      <c r="B26" s="109">
        <v>14149</v>
      </c>
      <c r="C26" s="110">
        <v>16921</v>
      </c>
      <c r="D26" s="110">
        <f>SUM(B26:C26)</f>
        <v>31070</v>
      </c>
      <c r="E26" s="109">
        <v>2953</v>
      </c>
      <c r="F26" s="110">
        <v>4327</v>
      </c>
      <c r="G26" s="110">
        <f>SUM(E26:F26)</f>
        <v>7280</v>
      </c>
      <c r="H26" s="109">
        <v>3098</v>
      </c>
      <c r="I26" s="110">
        <v>11554</v>
      </c>
      <c r="J26" s="110">
        <f>SUM(H26:I26)</f>
        <v>14652</v>
      </c>
      <c r="K26" s="111">
        <v>2319</v>
      </c>
      <c r="L26" s="110">
        <v>4310</v>
      </c>
      <c r="M26" s="110">
        <f>SUM(K26:L26)</f>
        <v>6629</v>
      </c>
      <c r="N26" s="109">
        <f aca="true" t="shared" si="9" ref="N26:S26">SUM(B26,H26)</f>
        <v>17247</v>
      </c>
      <c r="O26" s="110">
        <f t="shared" si="9"/>
        <v>28475</v>
      </c>
      <c r="P26" s="110">
        <f t="shared" si="9"/>
        <v>45722</v>
      </c>
      <c r="Q26" s="109">
        <f t="shared" si="9"/>
        <v>5272</v>
      </c>
      <c r="R26" s="110">
        <f t="shared" si="9"/>
        <v>8637</v>
      </c>
      <c r="S26" s="110">
        <f t="shared" si="9"/>
        <v>13909</v>
      </c>
      <c r="U26"/>
      <c r="V26"/>
    </row>
    <row r="27" spans="1:22" ht="15" customHeight="1">
      <c r="A27" s="96"/>
      <c r="B27" s="109"/>
      <c r="C27" s="110"/>
      <c r="D27" s="110"/>
      <c r="E27" s="109"/>
      <c r="F27" s="110"/>
      <c r="G27" s="110"/>
      <c r="H27" s="109"/>
      <c r="I27" s="110"/>
      <c r="J27" s="110"/>
      <c r="K27" s="109"/>
      <c r="L27" s="110"/>
      <c r="M27" s="110"/>
      <c r="N27" s="109"/>
      <c r="O27" s="110"/>
      <c r="P27" s="110"/>
      <c r="Q27" s="109"/>
      <c r="R27" s="110"/>
      <c r="S27" s="110"/>
      <c r="U27"/>
      <c r="V27"/>
    </row>
    <row r="28" spans="1:22" ht="12.75">
      <c r="A28" s="94" t="s">
        <v>13</v>
      </c>
      <c r="B28" s="109"/>
      <c r="C28" s="110"/>
      <c r="D28" s="110"/>
      <c r="E28" s="109"/>
      <c r="F28" s="110"/>
      <c r="G28" s="110"/>
      <c r="H28" s="109"/>
      <c r="I28" s="110"/>
      <c r="J28" s="110"/>
      <c r="K28" s="109"/>
      <c r="L28" s="110"/>
      <c r="M28" s="110"/>
      <c r="N28" s="109"/>
      <c r="O28" s="110"/>
      <c r="P28" s="110"/>
      <c r="Q28" s="109"/>
      <c r="R28" s="110"/>
      <c r="S28" s="110"/>
      <c r="U28"/>
      <c r="V28"/>
    </row>
    <row r="29" spans="1:22" ht="12.75">
      <c r="A29" s="95" t="s">
        <v>44</v>
      </c>
      <c r="B29" s="109">
        <v>1467</v>
      </c>
      <c r="C29" s="110">
        <v>1733</v>
      </c>
      <c r="D29" s="110">
        <f>SUM(B29:C29)</f>
        <v>3200</v>
      </c>
      <c r="E29" s="109">
        <v>450</v>
      </c>
      <c r="F29" s="110">
        <v>777</v>
      </c>
      <c r="G29" s="110">
        <f>SUM(E29:F29)</f>
        <v>1227</v>
      </c>
      <c r="H29" s="109">
        <v>275</v>
      </c>
      <c r="I29" s="110">
        <v>576</v>
      </c>
      <c r="J29" s="110">
        <f>SUM(H29:I29)</f>
        <v>851</v>
      </c>
      <c r="K29" s="111">
        <v>217</v>
      </c>
      <c r="L29" s="110">
        <v>386</v>
      </c>
      <c r="M29" s="110">
        <f>SUM(K29:L29)</f>
        <v>603</v>
      </c>
      <c r="N29" s="109">
        <f>SUM(B29,H29)</f>
        <v>1742</v>
      </c>
      <c r="O29" s="110">
        <f aca="true" t="shared" si="10" ref="O29:S31">SUM(C29,I29)</f>
        <v>2309</v>
      </c>
      <c r="P29" s="110">
        <f t="shared" si="10"/>
        <v>4051</v>
      </c>
      <c r="Q29" s="109">
        <f t="shared" si="10"/>
        <v>667</v>
      </c>
      <c r="R29" s="110">
        <f t="shared" si="10"/>
        <v>1163</v>
      </c>
      <c r="S29" s="110">
        <f t="shared" si="10"/>
        <v>1830</v>
      </c>
      <c r="U29"/>
      <c r="V29"/>
    </row>
    <row r="30" spans="1:22" ht="12.75">
      <c r="A30" s="95" t="s">
        <v>52</v>
      </c>
      <c r="B30" s="109">
        <v>1508</v>
      </c>
      <c r="C30" s="110">
        <v>1975</v>
      </c>
      <c r="D30" s="110">
        <f>SUM(B30:C30)</f>
        <v>3483</v>
      </c>
      <c r="E30" s="109">
        <v>490</v>
      </c>
      <c r="F30" s="110">
        <v>837</v>
      </c>
      <c r="G30" s="110">
        <f>SUM(E30:F30)</f>
        <v>1327</v>
      </c>
      <c r="H30" s="109">
        <v>270</v>
      </c>
      <c r="I30" s="110">
        <v>706</v>
      </c>
      <c r="J30" s="110">
        <f>SUM(H30:I30)</f>
        <v>976</v>
      </c>
      <c r="K30" s="111">
        <v>218</v>
      </c>
      <c r="L30" s="110">
        <v>506</v>
      </c>
      <c r="M30" s="110">
        <f>SUM(K30:L30)</f>
        <v>724</v>
      </c>
      <c r="N30" s="109">
        <f>SUM(B30,H30)</f>
        <v>1778</v>
      </c>
      <c r="O30" s="110">
        <f t="shared" si="10"/>
        <v>2681</v>
      </c>
      <c r="P30" s="110">
        <f t="shared" si="10"/>
        <v>4459</v>
      </c>
      <c r="Q30" s="109">
        <f t="shared" si="10"/>
        <v>708</v>
      </c>
      <c r="R30" s="110">
        <f t="shared" si="10"/>
        <v>1343</v>
      </c>
      <c r="S30" s="110">
        <f t="shared" si="10"/>
        <v>2051</v>
      </c>
      <c r="U30"/>
      <c r="V30"/>
    </row>
    <row r="31" spans="1:22" ht="12.75">
      <c r="A31" s="225" t="s">
        <v>73</v>
      </c>
      <c r="B31" s="109">
        <v>1552</v>
      </c>
      <c r="C31" s="110">
        <v>2374</v>
      </c>
      <c r="D31" s="110">
        <f>SUM(B31:C31)</f>
        <v>3926</v>
      </c>
      <c r="E31" s="109">
        <v>422</v>
      </c>
      <c r="F31" s="110">
        <v>877</v>
      </c>
      <c r="G31" s="110">
        <f>SUM(E31:F31)</f>
        <v>1299</v>
      </c>
      <c r="H31" s="109">
        <v>297</v>
      </c>
      <c r="I31" s="110">
        <v>819</v>
      </c>
      <c r="J31" s="110">
        <f>SUM(H31:I31)</f>
        <v>1116</v>
      </c>
      <c r="K31" s="111">
        <v>250</v>
      </c>
      <c r="L31" s="110">
        <v>525</v>
      </c>
      <c r="M31" s="110">
        <f>SUM(K31:L31)</f>
        <v>775</v>
      </c>
      <c r="N31" s="109">
        <f>SUM(B31,H31)</f>
        <v>1849</v>
      </c>
      <c r="O31" s="110">
        <f t="shared" si="10"/>
        <v>3193</v>
      </c>
      <c r="P31" s="110">
        <f t="shared" si="10"/>
        <v>5042</v>
      </c>
      <c r="Q31" s="109">
        <f t="shared" si="10"/>
        <v>672</v>
      </c>
      <c r="R31" s="110">
        <f t="shared" si="10"/>
        <v>1402</v>
      </c>
      <c r="S31" s="110">
        <f t="shared" si="10"/>
        <v>2074</v>
      </c>
      <c r="U31"/>
      <c r="V31"/>
    </row>
    <row r="32" spans="1:22" ht="12.75">
      <c r="A32" s="225" t="s">
        <v>132</v>
      </c>
      <c r="B32" s="109">
        <v>1554</v>
      </c>
      <c r="C32" s="110">
        <v>2668</v>
      </c>
      <c r="D32" s="110">
        <f>SUM(B32:C32)</f>
        <v>4222</v>
      </c>
      <c r="E32" s="109">
        <v>491</v>
      </c>
      <c r="F32" s="110">
        <v>855</v>
      </c>
      <c r="G32" s="110">
        <f>SUM(E32:F32)</f>
        <v>1346</v>
      </c>
      <c r="H32" s="109">
        <v>303</v>
      </c>
      <c r="I32" s="110">
        <v>945</v>
      </c>
      <c r="J32" s="110">
        <f>SUM(H32:I32)</f>
        <v>1248</v>
      </c>
      <c r="K32" s="111">
        <v>221</v>
      </c>
      <c r="L32" s="110">
        <v>536</v>
      </c>
      <c r="M32" s="110">
        <f>SUM(K32:L32)</f>
        <v>757</v>
      </c>
      <c r="N32" s="109">
        <f>SUM(B32,H32)</f>
        <v>1857</v>
      </c>
      <c r="O32" s="110">
        <f>SUM(C32,I32)</f>
        <v>3613</v>
      </c>
      <c r="P32" s="110">
        <f>SUM(D32,J32)</f>
        <v>5470</v>
      </c>
      <c r="Q32" s="109">
        <f>SUM(E32,K32)</f>
        <v>712</v>
      </c>
      <c r="R32" s="110">
        <f>SUM(F32,L32)</f>
        <v>1391</v>
      </c>
      <c r="S32" s="110">
        <f>SUM(G32,M32)</f>
        <v>2103</v>
      </c>
      <c r="U32"/>
      <c r="V32"/>
    </row>
    <row r="33" spans="1:22" ht="12.75">
      <c r="A33" s="95"/>
      <c r="B33" s="109"/>
      <c r="C33" s="110"/>
      <c r="D33" s="110"/>
      <c r="E33" s="109"/>
      <c r="F33" s="110"/>
      <c r="G33" s="110"/>
      <c r="H33" s="109"/>
      <c r="I33" s="110"/>
      <c r="J33" s="110"/>
      <c r="K33" s="111"/>
      <c r="L33" s="110"/>
      <c r="M33" s="110"/>
      <c r="N33" s="109"/>
      <c r="O33" s="110"/>
      <c r="P33" s="110"/>
      <c r="Q33" s="109"/>
      <c r="R33" s="110"/>
      <c r="S33" s="110"/>
      <c r="U33"/>
      <c r="V33"/>
    </row>
    <row r="34" spans="1:22" ht="14.25" customHeight="1">
      <c r="A34" s="94" t="s">
        <v>75</v>
      </c>
      <c r="B34" s="109"/>
      <c r="C34" s="110"/>
      <c r="D34" s="110"/>
      <c r="E34" s="109"/>
      <c r="F34" s="110"/>
      <c r="G34" s="110"/>
      <c r="H34" s="109"/>
      <c r="I34" s="110"/>
      <c r="J34" s="110"/>
      <c r="K34" s="109"/>
      <c r="L34" s="110"/>
      <c r="M34" s="110"/>
      <c r="N34" s="109"/>
      <c r="O34" s="110"/>
      <c r="P34" s="110"/>
      <c r="Q34" s="109"/>
      <c r="R34" s="110"/>
      <c r="S34" s="110"/>
      <c r="U34"/>
      <c r="V34"/>
    </row>
    <row r="35" spans="1:22" ht="14.25" customHeight="1">
      <c r="A35" s="95" t="s">
        <v>52</v>
      </c>
      <c r="B35" s="109">
        <v>73</v>
      </c>
      <c r="C35" s="110">
        <v>414</v>
      </c>
      <c r="D35" s="110">
        <f>B35+C35</f>
        <v>487</v>
      </c>
      <c r="E35" s="84">
        <v>35</v>
      </c>
      <c r="F35" s="201">
        <v>175</v>
      </c>
      <c r="G35" s="201">
        <f>SUM(E35:F35)</f>
        <v>210</v>
      </c>
      <c r="H35" s="84">
        <v>15</v>
      </c>
      <c r="I35" s="201">
        <v>171</v>
      </c>
      <c r="J35" s="201">
        <f>SUM(H35:I35)</f>
        <v>186</v>
      </c>
      <c r="K35" s="84">
        <v>11</v>
      </c>
      <c r="L35" s="201">
        <v>89</v>
      </c>
      <c r="M35" s="201">
        <f>SUM(K35:L35)</f>
        <v>100</v>
      </c>
      <c r="N35" s="84">
        <f aca="true" t="shared" si="11" ref="N35:O37">SUM(B35,H35)</f>
        <v>88</v>
      </c>
      <c r="O35" s="201">
        <f t="shared" si="11"/>
        <v>585</v>
      </c>
      <c r="P35" s="201">
        <f>SUM(N35:O35)</f>
        <v>673</v>
      </c>
      <c r="Q35" s="84">
        <f aca="true" t="shared" si="12" ref="Q35:R37">SUM(E35,K35)</f>
        <v>46</v>
      </c>
      <c r="R35" s="201">
        <f t="shared" si="12"/>
        <v>264</v>
      </c>
      <c r="S35" s="201">
        <f>SUM(Q35:R35)</f>
        <v>310</v>
      </c>
      <c r="U35"/>
      <c r="V35"/>
    </row>
    <row r="36" spans="1:22" ht="12.75">
      <c r="A36" s="225" t="s">
        <v>73</v>
      </c>
      <c r="B36" s="109">
        <v>89</v>
      </c>
      <c r="C36" s="110">
        <v>506</v>
      </c>
      <c r="D36" s="110">
        <f>B36+C36</f>
        <v>595</v>
      </c>
      <c r="E36" s="109">
        <v>43</v>
      </c>
      <c r="F36" s="110">
        <v>228</v>
      </c>
      <c r="G36" s="201">
        <f>SUM(E36:F36)</f>
        <v>271</v>
      </c>
      <c r="H36" s="109">
        <v>19</v>
      </c>
      <c r="I36" s="110">
        <v>224</v>
      </c>
      <c r="J36" s="201">
        <f>SUM(H36:I36)</f>
        <v>243</v>
      </c>
      <c r="K36" s="111">
        <v>25</v>
      </c>
      <c r="L36" s="110">
        <v>136</v>
      </c>
      <c r="M36" s="201">
        <f>SUM(K36:L36)</f>
        <v>161</v>
      </c>
      <c r="N36" s="109">
        <f t="shared" si="11"/>
        <v>108</v>
      </c>
      <c r="O36" s="110">
        <f t="shared" si="11"/>
        <v>730</v>
      </c>
      <c r="P36" s="110">
        <f>SUM(D36,J36)</f>
        <v>838</v>
      </c>
      <c r="Q36" s="109">
        <f t="shared" si="12"/>
        <v>68</v>
      </c>
      <c r="R36" s="110">
        <f t="shared" si="12"/>
        <v>364</v>
      </c>
      <c r="S36" s="110">
        <f>SUM(G36,M36)</f>
        <v>432</v>
      </c>
      <c r="U36"/>
      <c r="V36"/>
    </row>
    <row r="37" spans="1:22" ht="12.75">
      <c r="A37" s="225" t="s">
        <v>132</v>
      </c>
      <c r="B37" s="109">
        <v>124</v>
      </c>
      <c r="C37" s="110">
        <v>619</v>
      </c>
      <c r="D37" s="110">
        <f>B37+C37</f>
        <v>743</v>
      </c>
      <c r="E37" s="109">
        <v>51</v>
      </c>
      <c r="F37" s="110">
        <v>234</v>
      </c>
      <c r="G37" s="201">
        <f>SUM(E37:F37)</f>
        <v>285</v>
      </c>
      <c r="H37" s="109">
        <v>19</v>
      </c>
      <c r="I37" s="110">
        <v>313</v>
      </c>
      <c r="J37" s="201">
        <f>SUM(H37:I37)</f>
        <v>332</v>
      </c>
      <c r="K37" s="111">
        <v>21</v>
      </c>
      <c r="L37" s="110">
        <v>132</v>
      </c>
      <c r="M37" s="201">
        <f>SUM(K37:L37)</f>
        <v>153</v>
      </c>
      <c r="N37" s="109">
        <f t="shared" si="11"/>
        <v>143</v>
      </c>
      <c r="O37" s="110">
        <f t="shared" si="11"/>
        <v>932</v>
      </c>
      <c r="P37" s="110">
        <f>SUM(D37,J37)</f>
        <v>1075</v>
      </c>
      <c r="Q37" s="109">
        <f t="shared" si="12"/>
        <v>72</v>
      </c>
      <c r="R37" s="110">
        <f t="shared" si="12"/>
        <v>366</v>
      </c>
      <c r="S37" s="110">
        <f>SUM(G37,M37)</f>
        <v>438</v>
      </c>
      <c r="U37"/>
      <c r="V37"/>
    </row>
    <row r="38" spans="1:22" ht="13.5" customHeight="1">
      <c r="A38" s="95"/>
      <c r="B38" s="109"/>
      <c r="C38" s="110"/>
      <c r="D38" s="110"/>
      <c r="E38" s="109"/>
      <c r="F38" s="110"/>
      <c r="G38" s="110"/>
      <c r="H38" s="109"/>
      <c r="I38" s="110"/>
      <c r="J38" s="110"/>
      <c r="K38" s="109"/>
      <c r="L38" s="110"/>
      <c r="M38" s="110"/>
      <c r="N38" s="109"/>
      <c r="O38" s="110"/>
      <c r="P38" s="110"/>
      <c r="Q38" s="109"/>
      <c r="R38" s="110"/>
      <c r="S38" s="110"/>
      <c r="U38"/>
      <c r="V38"/>
    </row>
    <row r="39" spans="1:22" ht="12.75">
      <c r="A39" s="94" t="s">
        <v>14</v>
      </c>
      <c r="B39" s="109"/>
      <c r="C39" s="110"/>
      <c r="D39" s="110"/>
      <c r="E39" s="109"/>
      <c r="F39" s="110"/>
      <c r="G39" s="110"/>
      <c r="H39" s="109"/>
      <c r="I39" s="110"/>
      <c r="J39" s="110"/>
      <c r="K39" s="109"/>
      <c r="L39" s="110"/>
      <c r="M39" s="110"/>
      <c r="N39" s="109"/>
      <c r="O39" s="110"/>
      <c r="P39" s="110"/>
      <c r="Q39" s="109"/>
      <c r="R39" s="110"/>
      <c r="S39" s="110"/>
      <c r="U39"/>
      <c r="V39"/>
    </row>
    <row r="40" spans="1:22" ht="12.75">
      <c r="A40" s="95" t="s">
        <v>44</v>
      </c>
      <c r="B40" s="109">
        <v>2146</v>
      </c>
      <c r="C40" s="110">
        <v>1525</v>
      </c>
      <c r="D40" s="110">
        <f>SUM(B40:C40)</f>
        <v>3671</v>
      </c>
      <c r="E40" s="109">
        <v>949</v>
      </c>
      <c r="F40" s="110">
        <v>959</v>
      </c>
      <c r="G40" s="110">
        <f>SUM(E40:F40)</f>
        <v>1908</v>
      </c>
      <c r="H40" s="109">
        <v>639</v>
      </c>
      <c r="I40" s="110">
        <v>1031</v>
      </c>
      <c r="J40" s="110">
        <f>SUM(H40:I40)</f>
        <v>1670</v>
      </c>
      <c r="K40" s="111">
        <v>1209</v>
      </c>
      <c r="L40" s="110">
        <v>1131</v>
      </c>
      <c r="M40" s="110">
        <f>SUM(K40:L40)</f>
        <v>2340</v>
      </c>
      <c r="N40" s="109">
        <f aca="true" t="shared" si="13" ref="N40:S40">SUM(B40,H40)</f>
        <v>2785</v>
      </c>
      <c r="O40" s="110">
        <f t="shared" si="13"/>
        <v>2556</v>
      </c>
      <c r="P40" s="110">
        <f t="shared" si="13"/>
        <v>5341</v>
      </c>
      <c r="Q40" s="109">
        <f t="shared" si="13"/>
        <v>2158</v>
      </c>
      <c r="R40" s="162">
        <f t="shared" si="13"/>
        <v>2090</v>
      </c>
      <c r="S40" s="110">
        <f t="shared" si="13"/>
        <v>4248</v>
      </c>
      <c r="U40"/>
      <c r="V40"/>
    </row>
    <row r="41" spans="1:22" ht="12.75">
      <c r="A41" s="95" t="s">
        <v>52</v>
      </c>
      <c r="B41" s="109">
        <v>2051</v>
      </c>
      <c r="C41" s="110">
        <v>1561</v>
      </c>
      <c r="D41" s="110">
        <f>SUM(B41:C41)</f>
        <v>3612</v>
      </c>
      <c r="E41" s="109">
        <v>996</v>
      </c>
      <c r="F41" s="110">
        <v>1056</v>
      </c>
      <c r="G41" s="110">
        <f>SUM(E41:F41)</f>
        <v>2052</v>
      </c>
      <c r="H41" s="109">
        <v>671</v>
      </c>
      <c r="I41" s="110">
        <v>1194</v>
      </c>
      <c r="J41" s="110">
        <f>SUM(H41:I41)</f>
        <v>1865</v>
      </c>
      <c r="K41" s="111">
        <v>1429</v>
      </c>
      <c r="L41" s="110">
        <v>1326</v>
      </c>
      <c r="M41" s="110">
        <f>SUM(K41:L41)</f>
        <v>2755</v>
      </c>
      <c r="N41" s="109">
        <f aca="true" t="shared" si="14" ref="N41:S42">SUM(B41,H41)</f>
        <v>2722</v>
      </c>
      <c r="O41" s="110">
        <f t="shared" si="14"/>
        <v>2755</v>
      </c>
      <c r="P41" s="110">
        <f t="shared" si="14"/>
        <v>5477</v>
      </c>
      <c r="Q41" s="109">
        <f t="shared" si="14"/>
        <v>2425</v>
      </c>
      <c r="R41" s="162">
        <f t="shared" si="14"/>
        <v>2382</v>
      </c>
      <c r="S41" s="110">
        <f t="shared" si="14"/>
        <v>4807</v>
      </c>
      <c r="U41"/>
      <c r="V41"/>
    </row>
    <row r="42" spans="1:22" ht="12.75">
      <c r="A42" s="225" t="s">
        <v>73</v>
      </c>
      <c r="B42" s="109">
        <v>1954</v>
      </c>
      <c r="C42" s="110">
        <v>1597</v>
      </c>
      <c r="D42" s="110">
        <f>SUM(B42:C42)</f>
        <v>3551</v>
      </c>
      <c r="E42" s="109">
        <v>852</v>
      </c>
      <c r="F42" s="110">
        <v>957</v>
      </c>
      <c r="G42" s="110">
        <f>SUM(E42:F42)</f>
        <v>1809</v>
      </c>
      <c r="H42" s="109">
        <v>670</v>
      </c>
      <c r="I42" s="110">
        <v>1184</v>
      </c>
      <c r="J42" s="110">
        <f>SUM(H42:I42)</f>
        <v>1854</v>
      </c>
      <c r="K42" s="111">
        <v>1467</v>
      </c>
      <c r="L42" s="110">
        <v>1472</v>
      </c>
      <c r="M42" s="110">
        <f>SUM(K42:L42)</f>
        <v>2939</v>
      </c>
      <c r="N42" s="109">
        <f t="shared" si="14"/>
        <v>2624</v>
      </c>
      <c r="O42" s="110">
        <f t="shared" si="14"/>
        <v>2781</v>
      </c>
      <c r="P42" s="110">
        <f t="shared" si="14"/>
        <v>5405</v>
      </c>
      <c r="Q42" s="109">
        <f t="shared" si="14"/>
        <v>2319</v>
      </c>
      <c r="R42" s="110">
        <f t="shared" si="14"/>
        <v>2429</v>
      </c>
      <c r="S42" s="110">
        <f t="shared" si="14"/>
        <v>4748</v>
      </c>
      <c r="U42"/>
      <c r="V42"/>
    </row>
    <row r="43" spans="1:22" ht="12.75">
      <c r="A43" s="225" t="s">
        <v>132</v>
      </c>
      <c r="B43" s="109">
        <v>1421</v>
      </c>
      <c r="C43" s="110">
        <v>1384</v>
      </c>
      <c r="D43" s="110">
        <f>SUM(B43:C43)</f>
        <v>2805</v>
      </c>
      <c r="E43" s="109">
        <v>562</v>
      </c>
      <c r="F43" s="110">
        <v>705</v>
      </c>
      <c r="G43" s="110">
        <f>SUM(E43:F43)</f>
        <v>1267</v>
      </c>
      <c r="H43" s="109">
        <v>520</v>
      </c>
      <c r="I43" s="110">
        <v>1249</v>
      </c>
      <c r="J43" s="110">
        <f>SUM(H43:I43)</f>
        <v>1769</v>
      </c>
      <c r="K43" s="111">
        <v>1157</v>
      </c>
      <c r="L43" s="110">
        <v>1330</v>
      </c>
      <c r="M43" s="110">
        <f>SUM(K43:L43)</f>
        <v>2487</v>
      </c>
      <c r="N43" s="109">
        <f aca="true" t="shared" si="15" ref="N43:S43">SUM(B43,H43)</f>
        <v>1941</v>
      </c>
      <c r="O43" s="110">
        <f t="shared" si="15"/>
        <v>2633</v>
      </c>
      <c r="P43" s="110">
        <f t="shared" si="15"/>
        <v>4574</v>
      </c>
      <c r="Q43" s="109">
        <f t="shared" si="15"/>
        <v>1719</v>
      </c>
      <c r="R43" s="110">
        <f t="shared" si="15"/>
        <v>2035</v>
      </c>
      <c r="S43" s="110">
        <f t="shared" si="15"/>
        <v>3754</v>
      </c>
      <c r="U43"/>
      <c r="V43"/>
    </row>
    <row r="44" spans="1:22" ht="14.25" customHeight="1">
      <c r="A44" s="95"/>
      <c r="B44" s="109"/>
      <c r="C44" s="110"/>
      <c r="D44" s="110"/>
      <c r="E44" s="109"/>
      <c r="F44" s="110"/>
      <c r="G44" s="110"/>
      <c r="H44" s="109"/>
      <c r="I44" s="110"/>
      <c r="J44" s="110"/>
      <c r="K44" s="109"/>
      <c r="L44" s="110"/>
      <c r="M44" s="110"/>
      <c r="N44" s="109"/>
      <c r="O44" s="110"/>
      <c r="P44" s="110"/>
      <c r="Q44" s="109"/>
      <c r="R44" s="110"/>
      <c r="S44" s="110"/>
      <c r="U44"/>
      <c r="V44"/>
    </row>
    <row r="45" spans="1:22" ht="14.25" customHeight="1">
      <c r="A45" s="94" t="s">
        <v>50</v>
      </c>
      <c r="B45" s="109"/>
      <c r="C45" s="110"/>
      <c r="D45" s="110"/>
      <c r="E45" s="109"/>
      <c r="F45" s="110"/>
      <c r="G45" s="110"/>
      <c r="H45" s="109"/>
      <c r="I45" s="110"/>
      <c r="J45" s="110"/>
      <c r="K45" s="109"/>
      <c r="L45" s="110"/>
      <c r="M45" s="110"/>
      <c r="N45" s="109"/>
      <c r="O45" s="110"/>
      <c r="P45" s="110"/>
      <c r="Q45" s="109"/>
      <c r="R45" s="110"/>
      <c r="S45" s="110"/>
      <c r="U45"/>
      <c r="V45"/>
    </row>
    <row r="46" spans="1:22" ht="14.25" customHeight="1">
      <c r="A46" s="95" t="s">
        <v>52</v>
      </c>
      <c r="B46" s="109">
        <v>0</v>
      </c>
      <c r="C46" s="110">
        <v>0</v>
      </c>
      <c r="D46" s="110">
        <f>B46+C46</f>
        <v>0</v>
      </c>
      <c r="E46" s="84">
        <v>70</v>
      </c>
      <c r="F46" s="201">
        <v>189</v>
      </c>
      <c r="G46" s="201">
        <f>SUM(E46:F46)</f>
        <v>259</v>
      </c>
      <c r="H46" s="84">
        <v>0</v>
      </c>
      <c r="I46" s="201">
        <v>0</v>
      </c>
      <c r="J46" s="201">
        <f>SUM(H46:I46)</f>
        <v>0</v>
      </c>
      <c r="K46" s="84">
        <v>55</v>
      </c>
      <c r="L46" s="201">
        <v>458</v>
      </c>
      <c r="M46" s="201">
        <f>SUM(K46:L46)</f>
        <v>513</v>
      </c>
      <c r="N46" s="84">
        <f aca="true" t="shared" si="16" ref="N46:O48">SUM(B46,H46)</f>
        <v>0</v>
      </c>
      <c r="O46" s="201">
        <f t="shared" si="16"/>
        <v>0</v>
      </c>
      <c r="P46" s="201">
        <f>SUM(N46:O46)</f>
        <v>0</v>
      </c>
      <c r="Q46" s="84">
        <f aca="true" t="shared" si="17" ref="Q46:R48">SUM(E46,K46)</f>
        <v>125</v>
      </c>
      <c r="R46" s="201">
        <f t="shared" si="17"/>
        <v>647</v>
      </c>
      <c r="S46" s="201">
        <f>SUM(Q46:R46)</f>
        <v>772</v>
      </c>
      <c r="U46"/>
      <c r="V46"/>
    </row>
    <row r="47" spans="1:22" ht="12.75">
      <c r="A47" s="225" t="s">
        <v>73</v>
      </c>
      <c r="B47" s="109">
        <v>0</v>
      </c>
      <c r="C47" s="110">
        <v>0</v>
      </c>
      <c r="D47" s="110">
        <f>B47+C47</f>
        <v>0</v>
      </c>
      <c r="E47" s="109">
        <v>64</v>
      </c>
      <c r="F47" s="110">
        <v>181</v>
      </c>
      <c r="G47" s="201">
        <f>SUM(E47:F47)</f>
        <v>245</v>
      </c>
      <c r="H47" s="109">
        <v>0</v>
      </c>
      <c r="I47" s="110">
        <v>0</v>
      </c>
      <c r="J47" s="201">
        <f>SUM(H47:I47)</f>
        <v>0</v>
      </c>
      <c r="K47" s="111">
        <v>67</v>
      </c>
      <c r="L47" s="110">
        <v>522</v>
      </c>
      <c r="M47" s="201">
        <f>SUM(K47:L47)</f>
        <v>589</v>
      </c>
      <c r="N47" s="109">
        <f t="shared" si="16"/>
        <v>0</v>
      </c>
      <c r="O47" s="110">
        <f t="shared" si="16"/>
        <v>0</v>
      </c>
      <c r="P47" s="110">
        <f>SUM(D47,J47)</f>
        <v>0</v>
      </c>
      <c r="Q47" s="109">
        <f t="shared" si="17"/>
        <v>131</v>
      </c>
      <c r="R47" s="110">
        <f t="shared" si="17"/>
        <v>703</v>
      </c>
      <c r="S47" s="110">
        <f>SUM(G47,M47)</f>
        <v>834</v>
      </c>
      <c r="U47"/>
      <c r="V47"/>
    </row>
    <row r="48" spans="1:22" ht="12.75">
      <c r="A48" s="225" t="s">
        <v>132</v>
      </c>
      <c r="B48" s="109">
        <v>0</v>
      </c>
      <c r="C48" s="110">
        <v>0</v>
      </c>
      <c r="D48" s="207">
        <f>B48+C48</f>
        <v>0</v>
      </c>
      <c r="E48" s="162">
        <v>79</v>
      </c>
      <c r="F48" s="110">
        <v>232</v>
      </c>
      <c r="G48" s="201">
        <f>SUM(E48:F48)</f>
        <v>311</v>
      </c>
      <c r="H48" s="109">
        <v>0</v>
      </c>
      <c r="I48" s="110">
        <v>0</v>
      </c>
      <c r="J48" s="201">
        <f>SUM(H48:I48)</f>
        <v>0</v>
      </c>
      <c r="K48" s="111">
        <v>75</v>
      </c>
      <c r="L48" s="110">
        <v>702</v>
      </c>
      <c r="M48" s="201">
        <f>SUM(K48:L48)</f>
        <v>777</v>
      </c>
      <c r="N48" s="109">
        <f t="shared" si="16"/>
        <v>0</v>
      </c>
      <c r="O48" s="110">
        <f t="shared" si="16"/>
        <v>0</v>
      </c>
      <c r="P48" s="110">
        <f>SUM(D48,J48)</f>
        <v>0</v>
      </c>
      <c r="Q48" s="109">
        <f t="shared" si="17"/>
        <v>154</v>
      </c>
      <c r="R48" s="110">
        <f t="shared" si="17"/>
        <v>934</v>
      </c>
      <c r="S48" s="110">
        <f>SUM(G48,M48)</f>
        <v>1088</v>
      </c>
      <c r="U48"/>
      <c r="V48"/>
    </row>
    <row r="49" spans="1:22" ht="14.25" customHeight="1">
      <c r="A49" s="95"/>
      <c r="B49" s="109"/>
      <c r="C49" s="110"/>
      <c r="D49" s="207"/>
      <c r="H49" s="109"/>
      <c r="I49" s="110"/>
      <c r="J49" s="110"/>
      <c r="K49" s="109"/>
      <c r="L49" s="110"/>
      <c r="M49" s="110"/>
      <c r="N49" s="109"/>
      <c r="O49" s="110"/>
      <c r="P49" s="110"/>
      <c r="Q49" s="109"/>
      <c r="R49" s="110"/>
      <c r="S49" s="110"/>
      <c r="U49"/>
      <c r="V49"/>
    </row>
    <row r="50" spans="1:22" ht="12.75">
      <c r="A50" s="1" t="s">
        <v>46</v>
      </c>
      <c r="B50" s="109"/>
      <c r="C50" s="110"/>
      <c r="D50" s="110"/>
      <c r="E50" s="109"/>
      <c r="F50" s="110"/>
      <c r="G50" s="110"/>
      <c r="H50" s="109"/>
      <c r="I50" s="110"/>
      <c r="J50" s="110"/>
      <c r="K50" s="109"/>
      <c r="L50" s="110"/>
      <c r="M50" s="110"/>
      <c r="N50" s="109"/>
      <c r="O50" s="110"/>
      <c r="P50" s="110"/>
      <c r="Q50" s="109"/>
      <c r="R50" s="110"/>
      <c r="S50" s="110"/>
      <c r="U50"/>
      <c r="V50"/>
    </row>
    <row r="51" spans="1:22" ht="12.75">
      <c r="A51" s="95" t="s">
        <v>44</v>
      </c>
      <c r="B51" s="109">
        <v>604</v>
      </c>
      <c r="C51" s="110">
        <v>862</v>
      </c>
      <c r="D51" s="110">
        <f>SUM(B51:C51)</f>
        <v>1466</v>
      </c>
      <c r="E51" s="109">
        <v>185</v>
      </c>
      <c r="F51" s="110">
        <v>272</v>
      </c>
      <c r="G51" s="110">
        <f>SUM(E51:F51)</f>
        <v>457</v>
      </c>
      <c r="H51" s="109">
        <v>357</v>
      </c>
      <c r="I51" s="110">
        <v>1117</v>
      </c>
      <c r="J51" s="110">
        <f>SUM(H51:I51)</f>
        <v>1474</v>
      </c>
      <c r="K51" s="111">
        <v>844</v>
      </c>
      <c r="L51" s="110">
        <v>1168</v>
      </c>
      <c r="M51" s="110">
        <f>SUM(K51:L51)</f>
        <v>2012</v>
      </c>
      <c r="N51" s="109">
        <f aca="true" t="shared" si="18" ref="N51:S51">SUM(B51,H51)</f>
        <v>961</v>
      </c>
      <c r="O51" s="110">
        <f t="shared" si="18"/>
        <v>1979</v>
      </c>
      <c r="P51" s="110">
        <f t="shared" si="18"/>
        <v>2940</v>
      </c>
      <c r="Q51" s="109">
        <f t="shared" si="18"/>
        <v>1029</v>
      </c>
      <c r="R51" s="110">
        <f t="shared" si="18"/>
        <v>1440</v>
      </c>
      <c r="S51" s="110">
        <f t="shared" si="18"/>
        <v>2469</v>
      </c>
      <c r="U51"/>
      <c r="V51"/>
    </row>
    <row r="52" spans="1:22" ht="12.75">
      <c r="A52" s="95" t="s">
        <v>52</v>
      </c>
      <c r="B52" s="109">
        <v>667</v>
      </c>
      <c r="C52" s="110">
        <v>951</v>
      </c>
      <c r="D52" s="110">
        <f>SUM(B52:C52)</f>
        <v>1618</v>
      </c>
      <c r="E52" s="109">
        <v>173</v>
      </c>
      <c r="F52" s="110">
        <v>260</v>
      </c>
      <c r="G52" s="110">
        <f>SUM(E52:F52)</f>
        <v>433</v>
      </c>
      <c r="H52" s="109">
        <v>367</v>
      </c>
      <c r="I52" s="110">
        <v>1233</v>
      </c>
      <c r="J52" s="110">
        <f>SUM(H52:I52)</f>
        <v>1600</v>
      </c>
      <c r="K52" s="111">
        <v>787</v>
      </c>
      <c r="L52" s="110">
        <v>1126</v>
      </c>
      <c r="M52" s="110">
        <f>SUM(K52:L52)</f>
        <v>1913</v>
      </c>
      <c r="N52" s="109">
        <f aca="true" t="shared" si="19" ref="N52:S53">SUM(B52,H52)</f>
        <v>1034</v>
      </c>
      <c r="O52" s="110">
        <f t="shared" si="19"/>
        <v>2184</v>
      </c>
      <c r="P52" s="110">
        <f t="shared" si="19"/>
        <v>3218</v>
      </c>
      <c r="Q52" s="109">
        <f t="shared" si="19"/>
        <v>960</v>
      </c>
      <c r="R52" s="110">
        <f t="shared" si="19"/>
        <v>1386</v>
      </c>
      <c r="S52" s="110">
        <f t="shared" si="19"/>
        <v>2346</v>
      </c>
      <c r="U52"/>
      <c r="V52"/>
    </row>
    <row r="53" spans="1:22" ht="12.75">
      <c r="A53" s="225" t="s">
        <v>74</v>
      </c>
      <c r="B53" s="109">
        <v>654</v>
      </c>
      <c r="C53" s="110">
        <v>1016</v>
      </c>
      <c r="D53" s="110">
        <f>SUM(B53:C53)</f>
        <v>1670</v>
      </c>
      <c r="E53" s="109">
        <v>128</v>
      </c>
      <c r="F53" s="110">
        <v>264</v>
      </c>
      <c r="G53" s="110">
        <f>SUM(E53:F53)</f>
        <v>392</v>
      </c>
      <c r="H53" s="109">
        <v>444</v>
      </c>
      <c r="I53" s="110">
        <v>1337</v>
      </c>
      <c r="J53" s="110">
        <f>SUM(H53:I53)</f>
        <v>1781</v>
      </c>
      <c r="K53" s="111">
        <v>782</v>
      </c>
      <c r="L53" s="110">
        <v>1118</v>
      </c>
      <c r="M53" s="110">
        <f>SUM(K53:L53)</f>
        <v>1900</v>
      </c>
      <c r="N53" s="109">
        <f t="shared" si="19"/>
        <v>1098</v>
      </c>
      <c r="O53" s="110">
        <f t="shared" si="19"/>
        <v>2353</v>
      </c>
      <c r="P53" s="110">
        <f t="shared" si="19"/>
        <v>3451</v>
      </c>
      <c r="Q53" s="109">
        <f t="shared" si="19"/>
        <v>910</v>
      </c>
      <c r="R53" s="110">
        <f t="shared" si="19"/>
        <v>1382</v>
      </c>
      <c r="S53" s="110">
        <f t="shared" si="19"/>
        <v>2292</v>
      </c>
      <c r="U53"/>
      <c r="V53"/>
    </row>
    <row r="54" spans="1:22" ht="12.75">
      <c r="A54" s="225" t="s">
        <v>132</v>
      </c>
      <c r="B54" s="109">
        <v>634</v>
      </c>
      <c r="C54" s="110">
        <v>972</v>
      </c>
      <c r="D54" s="110">
        <f>SUM(B54:C54)</f>
        <v>1606</v>
      </c>
      <c r="E54" s="109">
        <v>146</v>
      </c>
      <c r="F54" s="110">
        <v>345</v>
      </c>
      <c r="G54" s="110">
        <f>SUM(E54:F54)</f>
        <v>491</v>
      </c>
      <c r="H54" s="109">
        <v>445</v>
      </c>
      <c r="I54" s="110">
        <v>1434</v>
      </c>
      <c r="J54" s="110">
        <f>SUM(H54:I54)</f>
        <v>1879</v>
      </c>
      <c r="K54" s="111">
        <v>738</v>
      </c>
      <c r="L54" s="110">
        <v>1192</v>
      </c>
      <c r="M54" s="110">
        <f>SUM(K54:L54)</f>
        <v>1930</v>
      </c>
      <c r="N54" s="109">
        <f aca="true" t="shared" si="20" ref="N54:S54">SUM(B54,H54)</f>
        <v>1079</v>
      </c>
      <c r="O54" s="110">
        <f t="shared" si="20"/>
        <v>2406</v>
      </c>
      <c r="P54" s="110">
        <f t="shared" si="20"/>
        <v>3485</v>
      </c>
      <c r="Q54" s="109">
        <f t="shared" si="20"/>
        <v>884</v>
      </c>
      <c r="R54" s="110">
        <f t="shared" si="20"/>
        <v>1537</v>
      </c>
      <c r="S54" s="110">
        <f t="shared" si="20"/>
        <v>2421</v>
      </c>
      <c r="U54"/>
      <c r="V54"/>
    </row>
    <row r="55" spans="1:22" ht="14.25" customHeight="1">
      <c r="A55" s="95"/>
      <c r="B55" s="109"/>
      <c r="C55" s="110"/>
      <c r="D55" s="110"/>
      <c r="E55" s="109"/>
      <c r="F55" s="110"/>
      <c r="G55" s="110"/>
      <c r="H55" s="109"/>
      <c r="I55" s="110"/>
      <c r="J55" s="110"/>
      <c r="K55" s="109"/>
      <c r="L55" s="110"/>
      <c r="M55" s="110"/>
      <c r="N55" s="109"/>
      <c r="O55" s="110"/>
      <c r="P55" s="110"/>
      <c r="Q55" s="109"/>
      <c r="R55" s="110"/>
      <c r="S55" s="110"/>
      <c r="U55"/>
      <c r="V55"/>
    </row>
    <row r="56" spans="1:22" ht="12.75">
      <c r="A56" s="1" t="s">
        <v>47</v>
      </c>
      <c r="B56" s="109"/>
      <c r="C56" s="110"/>
      <c r="D56" s="110"/>
      <c r="E56" s="109"/>
      <c r="F56" s="110"/>
      <c r="G56" s="110"/>
      <c r="H56" s="109"/>
      <c r="I56" s="110"/>
      <c r="J56" s="110"/>
      <c r="K56" s="109"/>
      <c r="L56" s="110"/>
      <c r="M56" s="110"/>
      <c r="N56" s="109"/>
      <c r="O56" s="110"/>
      <c r="P56" s="110"/>
      <c r="Q56" s="109"/>
      <c r="R56" s="110"/>
      <c r="S56" s="110"/>
      <c r="U56"/>
      <c r="V56"/>
    </row>
    <row r="57" spans="1:22" ht="12.75">
      <c r="A57" s="95" t="s">
        <v>44</v>
      </c>
      <c r="B57" s="109">
        <v>142</v>
      </c>
      <c r="C57" s="110">
        <v>99</v>
      </c>
      <c r="D57" s="110">
        <f>SUM(B57:C57)</f>
        <v>241</v>
      </c>
      <c r="E57" s="109">
        <v>30</v>
      </c>
      <c r="F57" s="110">
        <v>34</v>
      </c>
      <c r="G57" s="110">
        <f>SUM(E57:F57)</f>
        <v>64</v>
      </c>
      <c r="H57" s="109">
        <v>76</v>
      </c>
      <c r="I57" s="110">
        <v>122</v>
      </c>
      <c r="J57" s="110">
        <f>SUM(H57:I57)</f>
        <v>198</v>
      </c>
      <c r="K57" s="111">
        <v>484</v>
      </c>
      <c r="L57" s="110">
        <v>246</v>
      </c>
      <c r="M57" s="110">
        <f>SUM(K57:L57)</f>
        <v>730</v>
      </c>
      <c r="N57" s="109">
        <f aca="true" t="shared" si="21" ref="N57:S57">SUM(B57,H57)</f>
        <v>218</v>
      </c>
      <c r="O57" s="110">
        <f t="shared" si="21"/>
        <v>221</v>
      </c>
      <c r="P57" s="110">
        <f t="shared" si="21"/>
        <v>439</v>
      </c>
      <c r="Q57" s="109">
        <f t="shared" si="21"/>
        <v>514</v>
      </c>
      <c r="R57" s="110">
        <f t="shared" si="21"/>
        <v>280</v>
      </c>
      <c r="S57" s="110">
        <f t="shared" si="21"/>
        <v>794</v>
      </c>
      <c r="U57"/>
      <c r="V57"/>
    </row>
    <row r="58" spans="1:22" ht="12.75">
      <c r="A58" s="95" t="s">
        <v>52</v>
      </c>
      <c r="B58" s="109">
        <v>152</v>
      </c>
      <c r="C58" s="110">
        <v>123</v>
      </c>
      <c r="D58" s="110">
        <f>SUM(B58:C58)</f>
        <v>275</v>
      </c>
      <c r="E58" s="109">
        <v>36</v>
      </c>
      <c r="F58" s="110">
        <v>52</v>
      </c>
      <c r="G58" s="110">
        <f>SUM(E58:F58)</f>
        <v>88</v>
      </c>
      <c r="H58" s="109">
        <v>94</v>
      </c>
      <c r="I58" s="110">
        <v>131</v>
      </c>
      <c r="J58" s="110">
        <f>SUM(H58:I58)</f>
        <v>225</v>
      </c>
      <c r="K58" s="111">
        <v>445</v>
      </c>
      <c r="L58" s="110">
        <v>220</v>
      </c>
      <c r="M58" s="110">
        <f>SUM(K58:L58)</f>
        <v>665</v>
      </c>
      <c r="N58" s="109">
        <f aca="true" t="shared" si="22" ref="N58:S59">SUM(B58,H58)</f>
        <v>246</v>
      </c>
      <c r="O58" s="110">
        <f t="shared" si="22"/>
        <v>254</v>
      </c>
      <c r="P58" s="110">
        <f t="shared" si="22"/>
        <v>500</v>
      </c>
      <c r="Q58" s="109">
        <f t="shared" si="22"/>
        <v>481</v>
      </c>
      <c r="R58" s="110">
        <f t="shared" si="22"/>
        <v>272</v>
      </c>
      <c r="S58" s="110">
        <f t="shared" si="22"/>
        <v>753</v>
      </c>
      <c r="U58"/>
      <c r="V58"/>
    </row>
    <row r="59" spans="1:22" ht="12.75">
      <c r="A59" s="225" t="s">
        <v>74</v>
      </c>
      <c r="B59" s="109">
        <v>163</v>
      </c>
      <c r="C59" s="110">
        <v>155</v>
      </c>
      <c r="D59" s="110">
        <f>SUM(B59:C59)</f>
        <v>318</v>
      </c>
      <c r="E59" s="109">
        <v>17</v>
      </c>
      <c r="F59" s="110">
        <v>44</v>
      </c>
      <c r="G59" s="110">
        <f>SUM(E59:F59)</f>
        <v>61</v>
      </c>
      <c r="H59" s="109">
        <v>107</v>
      </c>
      <c r="I59" s="110">
        <v>150</v>
      </c>
      <c r="J59" s="110">
        <f>SUM(H59:I59)</f>
        <v>257</v>
      </c>
      <c r="K59" s="111">
        <v>379</v>
      </c>
      <c r="L59" s="110">
        <v>200</v>
      </c>
      <c r="M59" s="110">
        <f>SUM(K59:L59)</f>
        <v>579</v>
      </c>
      <c r="N59" s="109">
        <f t="shared" si="22"/>
        <v>270</v>
      </c>
      <c r="O59" s="110">
        <f t="shared" si="22"/>
        <v>305</v>
      </c>
      <c r="P59" s="110">
        <f t="shared" si="22"/>
        <v>575</v>
      </c>
      <c r="Q59" s="109">
        <f t="shared" si="22"/>
        <v>396</v>
      </c>
      <c r="R59" s="110">
        <f t="shared" si="22"/>
        <v>244</v>
      </c>
      <c r="S59" s="110">
        <f t="shared" si="22"/>
        <v>640</v>
      </c>
      <c r="U59"/>
      <c r="V59"/>
    </row>
    <row r="60" spans="1:22" ht="12.75">
      <c r="A60" s="225" t="s">
        <v>132</v>
      </c>
      <c r="B60" s="109">
        <v>140</v>
      </c>
      <c r="C60" s="110">
        <v>155</v>
      </c>
      <c r="D60" s="110">
        <f>SUM(B60:C60)</f>
        <v>295</v>
      </c>
      <c r="E60" s="109">
        <v>38</v>
      </c>
      <c r="F60" s="110">
        <v>54</v>
      </c>
      <c r="G60" s="110">
        <f>SUM(E60:F60)</f>
        <v>92</v>
      </c>
      <c r="H60" s="109">
        <v>118</v>
      </c>
      <c r="I60" s="110">
        <v>146</v>
      </c>
      <c r="J60" s="110">
        <f>SUM(H60:I60)</f>
        <v>264</v>
      </c>
      <c r="K60" s="111">
        <v>311</v>
      </c>
      <c r="L60" s="110">
        <v>234</v>
      </c>
      <c r="M60" s="110">
        <f>SUM(K60:L60)</f>
        <v>545</v>
      </c>
      <c r="N60" s="109">
        <f aca="true" t="shared" si="23" ref="N60:S60">SUM(B60,H60)</f>
        <v>258</v>
      </c>
      <c r="O60" s="110">
        <f t="shared" si="23"/>
        <v>301</v>
      </c>
      <c r="P60" s="110">
        <f t="shared" si="23"/>
        <v>559</v>
      </c>
      <c r="Q60" s="109">
        <f t="shared" si="23"/>
        <v>349</v>
      </c>
      <c r="R60" s="110">
        <f t="shared" si="23"/>
        <v>288</v>
      </c>
      <c r="S60" s="110">
        <f t="shared" si="23"/>
        <v>637</v>
      </c>
      <c r="U60"/>
      <c r="V60"/>
    </row>
    <row r="61" spans="1:22" ht="15.75" customHeight="1">
      <c r="A61" s="95"/>
      <c r="B61" s="109"/>
      <c r="C61" s="110"/>
      <c r="D61" s="110"/>
      <c r="E61" s="109"/>
      <c r="F61" s="110"/>
      <c r="G61" s="110"/>
      <c r="H61" s="109"/>
      <c r="I61" s="110"/>
      <c r="J61" s="110"/>
      <c r="K61" s="109"/>
      <c r="L61" s="110"/>
      <c r="M61" s="110"/>
      <c r="N61" s="109"/>
      <c r="O61" s="110"/>
      <c r="P61" s="110"/>
      <c r="Q61" s="109"/>
      <c r="R61" s="110"/>
      <c r="S61" s="110"/>
      <c r="U61"/>
      <c r="V61"/>
    </row>
    <row r="62" spans="1:22" ht="12.75">
      <c r="A62" s="94" t="s">
        <v>15</v>
      </c>
      <c r="B62" s="109"/>
      <c r="C62" s="110"/>
      <c r="D62" s="110"/>
      <c r="E62" s="109"/>
      <c r="F62" s="110"/>
      <c r="G62" s="110"/>
      <c r="H62" s="109"/>
      <c r="I62" s="110"/>
      <c r="J62" s="110"/>
      <c r="K62" s="109"/>
      <c r="L62" s="110"/>
      <c r="M62" s="110"/>
      <c r="N62" s="109"/>
      <c r="O62" s="110"/>
      <c r="P62" s="110"/>
      <c r="Q62" s="109"/>
      <c r="R62" s="110"/>
      <c r="S62" s="110"/>
      <c r="U62"/>
      <c r="V62"/>
    </row>
    <row r="63" spans="1:22" ht="12.75">
      <c r="A63" s="95" t="s">
        <v>44</v>
      </c>
      <c r="B63" s="109">
        <v>939</v>
      </c>
      <c r="C63" s="110">
        <v>708</v>
      </c>
      <c r="D63" s="110">
        <f>SUM(B63:C63)</f>
        <v>1647</v>
      </c>
      <c r="E63" s="109">
        <v>95</v>
      </c>
      <c r="F63" s="110">
        <v>99</v>
      </c>
      <c r="G63" s="110">
        <f>SUM(E63:F63)</f>
        <v>194</v>
      </c>
      <c r="H63" s="109">
        <v>573</v>
      </c>
      <c r="I63" s="110">
        <v>1119</v>
      </c>
      <c r="J63" s="110">
        <f>SUM(H63:I63)</f>
        <v>1692</v>
      </c>
      <c r="K63" s="111">
        <v>622</v>
      </c>
      <c r="L63" s="110">
        <v>845</v>
      </c>
      <c r="M63" s="110">
        <f>SUM(K63:L63)</f>
        <v>1467</v>
      </c>
      <c r="N63" s="109">
        <f aca="true" t="shared" si="24" ref="N63:S63">SUM(B63,H63)</f>
        <v>1512</v>
      </c>
      <c r="O63" s="110">
        <f t="shared" si="24"/>
        <v>1827</v>
      </c>
      <c r="P63" s="110">
        <f t="shared" si="24"/>
        <v>3339</v>
      </c>
      <c r="Q63" s="109">
        <f t="shared" si="24"/>
        <v>717</v>
      </c>
      <c r="R63" s="110">
        <f t="shared" si="24"/>
        <v>944</v>
      </c>
      <c r="S63" s="110">
        <f t="shared" si="24"/>
        <v>1661</v>
      </c>
      <c r="U63"/>
      <c r="V63"/>
    </row>
    <row r="64" spans="1:22" ht="12.75">
      <c r="A64" s="95" t="s">
        <v>52</v>
      </c>
      <c r="B64" s="109">
        <v>924</v>
      </c>
      <c r="C64" s="110">
        <v>778</v>
      </c>
      <c r="D64" s="110">
        <f>SUM(B64:C64)</f>
        <v>1702</v>
      </c>
      <c r="E64" s="109">
        <v>89</v>
      </c>
      <c r="F64" s="110">
        <v>69</v>
      </c>
      <c r="G64" s="110">
        <f>SUM(E64:F64)</f>
        <v>158</v>
      </c>
      <c r="H64" s="109">
        <v>622</v>
      </c>
      <c r="I64" s="110">
        <v>1251</v>
      </c>
      <c r="J64" s="110">
        <f>SUM(H64:I64)</f>
        <v>1873</v>
      </c>
      <c r="K64" s="111">
        <v>647</v>
      </c>
      <c r="L64" s="110">
        <v>901</v>
      </c>
      <c r="M64" s="110">
        <f>SUM(K64:L64)</f>
        <v>1548</v>
      </c>
      <c r="N64" s="109">
        <f aca="true" t="shared" si="25" ref="N64:S65">SUM(B64,H64)</f>
        <v>1546</v>
      </c>
      <c r="O64" s="110">
        <f t="shared" si="25"/>
        <v>2029</v>
      </c>
      <c r="P64" s="110">
        <f t="shared" si="25"/>
        <v>3575</v>
      </c>
      <c r="Q64" s="109">
        <f t="shared" si="25"/>
        <v>736</v>
      </c>
      <c r="R64" s="110">
        <f t="shared" si="25"/>
        <v>970</v>
      </c>
      <c r="S64" s="110">
        <f t="shared" si="25"/>
        <v>1706</v>
      </c>
      <c r="U64"/>
      <c r="V64"/>
    </row>
    <row r="65" spans="1:22" ht="12.75">
      <c r="A65" s="225" t="s">
        <v>73</v>
      </c>
      <c r="B65" s="109">
        <v>926</v>
      </c>
      <c r="C65" s="110">
        <v>823</v>
      </c>
      <c r="D65" s="110">
        <f>SUM(B65:C65)</f>
        <v>1749</v>
      </c>
      <c r="E65" s="109">
        <v>63</v>
      </c>
      <c r="F65" s="110">
        <v>72</v>
      </c>
      <c r="G65" s="110">
        <f>SUM(E65:F65)</f>
        <v>135</v>
      </c>
      <c r="H65" s="109">
        <v>674</v>
      </c>
      <c r="I65" s="110">
        <v>1312</v>
      </c>
      <c r="J65" s="110">
        <f>SUM(H65:I65)</f>
        <v>1986</v>
      </c>
      <c r="K65" s="111">
        <v>608</v>
      </c>
      <c r="L65" s="110">
        <v>909</v>
      </c>
      <c r="M65" s="110">
        <f>SUM(K65:L65)</f>
        <v>1517</v>
      </c>
      <c r="N65" s="109">
        <f t="shared" si="25"/>
        <v>1600</v>
      </c>
      <c r="O65" s="110">
        <f t="shared" si="25"/>
        <v>2135</v>
      </c>
      <c r="P65" s="110">
        <f t="shared" si="25"/>
        <v>3735</v>
      </c>
      <c r="Q65" s="109">
        <f t="shared" si="25"/>
        <v>671</v>
      </c>
      <c r="R65" s="110">
        <f t="shared" si="25"/>
        <v>981</v>
      </c>
      <c r="S65" s="110">
        <f t="shared" si="25"/>
        <v>1652</v>
      </c>
      <c r="U65"/>
      <c r="V65"/>
    </row>
    <row r="66" spans="1:22" ht="12.75">
      <c r="A66" s="225" t="s">
        <v>132</v>
      </c>
      <c r="B66" s="109">
        <v>890</v>
      </c>
      <c r="C66" s="110">
        <v>866</v>
      </c>
      <c r="D66" s="207">
        <f>SUM(B66:C66)</f>
        <v>1756</v>
      </c>
      <c r="E66" s="162">
        <v>63</v>
      </c>
      <c r="F66" s="110">
        <v>83</v>
      </c>
      <c r="G66" s="207">
        <f>SUM(E66:F66)</f>
        <v>146</v>
      </c>
      <c r="H66" s="162">
        <v>680</v>
      </c>
      <c r="I66" s="110">
        <v>1373</v>
      </c>
      <c r="J66" s="207">
        <f>SUM(H66:I66)</f>
        <v>2053</v>
      </c>
      <c r="K66" s="163">
        <v>587</v>
      </c>
      <c r="L66" s="110">
        <v>858</v>
      </c>
      <c r="M66" s="110">
        <f>SUM(K66:L66)</f>
        <v>1445</v>
      </c>
      <c r="N66" s="109">
        <f aca="true" t="shared" si="26" ref="N66:S66">SUM(B66,H66)</f>
        <v>1570</v>
      </c>
      <c r="O66" s="110">
        <f t="shared" si="26"/>
        <v>2239</v>
      </c>
      <c r="P66" s="110">
        <f t="shared" si="26"/>
        <v>3809</v>
      </c>
      <c r="Q66" s="109">
        <f t="shared" si="26"/>
        <v>650</v>
      </c>
      <c r="R66" s="110">
        <f t="shared" si="26"/>
        <v>941</v>
      </c>
      <c r="S66" s="110">
        <f t="shared" si="26"/>
        <v>1591</v>
      </c>
      <c r="U66"/>
      <c r="V66"/>
    </row>
    <row r="68" ht="12.75">
      <c r="A68" s="220" t="s">
        <v>64</v>
      </c>
    </row>
  </sheetData>
  <sheetProtection/>
  <printOptions horizontalCentered="1"/>
  <pageMargins left="0.3937007874015748" right="0.3937007874015748" top="0.3937007874015748" bottom="0.3937007874015748" header="0.5118110236220472" footer="0.5118110236220472"/>
  <pageSetup fitToHeight="2" fitToWidth="1" orientation="landscape" paperSize="9" scale="85"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Vlaamse Gemeenschap</dc:creator>
  <cp:keywords/>
  <dc:description/>
  <cp:lastModifiedBy>Vermeulen, Geert</cp:lastModifiedBy>
  <cp:lastPrinted>2016-08-04T13:36:10Z</cp:lastPrinted>
  <dcterms:created xsi:type="dcterms:W3CDTF">1999-11-09T10:39:11Z</dcterms:created>
  <dcterms:modified xsi:type="dcterms:W3CDTF">2017-01-25T08:51:52Z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Onwaar</vt:lpwstr>
  </property>
  <property fmtid="{D5CDD505-2E9C-101B-9397-08002B2CF9AE}" pid="3" name="ContentTypeId">
    <vt:lpwstr>0x0101003469F0671AEE1641A22D649C188EA117</vt:lpwstr>
  </property>
</Properties>
</file>