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776" windowHeight="9036" tabRatio="691" activeTab="0"/>
  </bookViews>
  <sheets>
    <sheet name="INHOUD" sheetId="1" r:id="rId1"/>
    <sheet name="15PHOG01" sheetId="2" r:id="rId2"/>
    <sheet name="15PHOG02" sheetId="3" r:id="rId3"/>
    <sheet name="15PHOG03" sheetId="4" r:id="rId4"/>
    <sheet name="15PUNIV01" sheetId="5" r:id="rId5"/>
    <sheet name="15PUNIV02 " sheetId="6" r:id="rId6"/>
  </sheets>
  <definedNames>
    <definedName name="_xlnm.Print_Area" localSheetId="1">'15PHOG01'!$A$1:$J$33</definedName>
    <definedName name="_xlnm.Print_Area" localSheetId="2">'15PHOG02'!$A$1:$J$36</definedName>
    <definedName name="_xlnm.Print_Area" localSheetId="3">'15PHOG03'!$A$1:$J$33</definedName>
    <definedName name="_xlnm.Print_Area" localSheetId="5">'15PUNIV02 '!$A$1:$P$24</definedName>
  </definedNames>
  <calcPr fullCalcOnLoad="1"/>
</workbook>
</file>

<file path=xl/sharedStrings.xml><?xml version="1.0" encoding="utf-8"?>
<sst xmlns="http://schemas.openxmlformats.org/spreadsheetml/2006/main" count="239" uniqueCount="81">
  <si>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</si>
  <si>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</si>
  <si>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</si>
  <si>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</si>
  <si>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</si>
  <si>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</si>
  <si>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</si>
  <si>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</si>
  <si>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</si>
  <si>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</si>
  <si>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</si>
  <si>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</si>
  <si>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</si>
  <si>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</si>
  <si>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</si>
  <si>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</si>
  <si>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</si>
  <si>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</si>
  <si>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</si>
  <si>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</si>
  <si>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</si>
  <si>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</si>
  <si>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</si>
  <si>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</si>
  <si>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PERSONEEL HOGESCHOLENONDERWIJS</t>
  </si>
  <si>
    <t>Bestuurs- en onderwijzend personeel naar statuut en geslacht - budgettaire fulltime-equivalenten</t>
  </si>
  <si>
    <t>Budgettaire fulltime-equivalenten</t>
  </si>
  <si>
    <t>Aantal personen</t>
  </si>
  <si>
    <t>Bestuurs- en onderwijzend personeel naar leeftijd, statuut en geslacht - aantal personen</t>
  </si>
  <si>
    <t>Andere personeelscategorieën naar leeftijd, statuut en geslacht - aantal personen</t>
  </si>
  <si>
    <t>UNIVERSITAIR ONDERWIJS</t>
  </si>
  <si>
    <t>PERSONEEL AAN DE UNIVERSITEITEN BETAALD TEN LASTE VAN DE WERKINGSUITKERINGEN</t>
  </si>
  <si>
    <t>Zelfstandig academisch personeel</t>
  </si>
  <si>
    <t>Assisterend academisch personeel</t>
  </si>
  <si>
    <t>Integratiekader OP1, OP2, OP3 (2)</t>
  </si>
  <si>
    <t>Katholieke Universiteit Leuven</t>
  </si>
  <si>
    <t>Universiteit Antwerpen</t>
  </si>
  <si>
    <t>Universiteit Gent</t>
  </si>
  <si>
    <t xml:space="preserve">Universiteit Hasselt (1) </t>
  </si>
  <si>
    <t>Vrije Universiteit Brussel</t>
  </si>
  <si>
    <t>(1) Het personeel van de transnationale Universiteit Limburg wordt in deze tabel bij dat van Universiteit Hasselt geteld.</t>
  </si>
  <si>
    <t>Aantal voltijdse eenheden op 1 februari</t>
  </si>
  <si>
    <t>Academisch personeel</t>
  </si>
  <si>
    <t>- Zelfstandig academisch personeel</t>
  </si>
  <si>
    <t>- Assisterend academisch personeel</t>
  </si>
  <si>
    <t>Algemeen totaal</t>
  </si>
  <si>
    <t>Bestuurspersoneel binnen het</t>
  </si>
  <si>
    <t>Bron : Vlaamse Interuniversitaire Raad (VLIR), Ravensteingalerij 27, 1000 Brussel.</t>
  </si>
  <si>
    <t>PERSONEEL UNIVERSITAIR ONDERWIJS</t>
  </si>
  <si>
    <t>Administratief en technisch personeel  (inclusief integratiekader ATP (2))</t>
  </si>
  <si>
    <t>administratief en technisch personeel (3)</t>
  </si>
  <si>
    <t xml:space="preserve">(3) Dit is een door de Stafdiensten Onderwijs en Vorming opgestelde categorie die bestaat uit de beheerders en de graden 10, 11, 12, 13, 15, 16, 17 van het administratief en technisch personeel.                             </t>
  </si>
  <si>
    <t>Zelfstandig academisch</t>
  </si>
  <si>
    <t>Assisterend academisch</t>
  </si>
  <si>
    <t xml:space="preserve">Bestuurspersoneel binnen het </t>
  </si>
  <si>
    <t>personeel</t>
  </si>
  <si>
    <t xml:space="preserve">administratief en technisch </t>
  </si>
  <si>
    <t>personeel (1)</t>
  </si>
  <si>
    <t>&lt;30</t>
  </si>
  <si>
    <t>60-64</t>
  </si>
  <si>
    <t>65 en +</t>
  </si>
  <si>
    <t xml:space="preserve">(1) Dit is een door de Stafdiensten Onderwijs en Vorming opgestelde categorie die bestaat uit de beheerders en de graden 10, 11, 12, 13, 15, 16, 17 van het administratief en technisch personeel.                             </t>
  </si>
  <si>
    <t>Academiejaar 2015-2016</t>
  </si>
  <si>
    <t xml:space="preserve">Aantal budgettaire fulltime-equivalenten (inclusief alle vervangingen, TBS+ en Bonus) - januari 2016 </t>
  </si>
  <si>
    <t>Aantal budgettaire fulltime-equivalenten (inclusief alle vervangingen, TBS+ en Bonus) - januari 2016</t>
  </si>
  <si>
    <t>Aantal personen (inclusief alle vervangingen, TBS+ en Bonus) - januari 2016</t>
  </si>
  <si>
    <t>Aantal personen (inclusief alle vervangingen, TBS+ en Bonus) -  januari 2016</t>
  </si>
  <si>
    <t>Aantal voltijdse eenheden op 1 februari 2016</t>
  </si>
  <si>
    <t>Aantal personen op 1 februari 2016</t>
  </si>
  <si>
    <t>15PHOG01</t>
  </si>
  <si>
    <t>15PHOG02</t>
  </si>
  <si>
    <t>15PHOG03</t>
  </si>
  <si>
    <t>Academisch, administratief en technisch personeel, bestuurspersoneel en integratiepersoneel - voltijdse eenheden</t>
  </si>
  <si>
    <t>Academisch, administratief en technisch personeel, bestuurspersoneel en integratiepersoneel - aantal personen</t>
  </si>
  <si>
    <t>15PUNIV01</t>
  </si>
  <si>
    <t>15PUNIV02</t>
  </si>
  <si>
    <t xml:space="preserve">(2) In het kader van de integratieprocedure van de academische opleidingen van de hogescholen in het universitair onderwijs in het academiejaar 2013-2014, zijn de personeelsleden van het integratiekader van de </t>
  </si>
  <si>
    <t>Administratief en technisch personeel 
(inclusief integratiekader ATP)</t>
  </si>
  <si>
    <t>universiteiten integraal in de personeelsstatistieken van de universiteiten opgenomen. De personeelsleden van het integratiekader van de universiteiten die door het beleidsdomein Onderwijs en Vorming betaald blijven worden</t>
  </si>
  <si>
    <t xml:space="preserve">(Universiteit Antwerpen, Universiteit Hasselt en Vrije Universiteit Brussel), zijn ook opgenomen in de statistieken van het personeel van de universiteiten. </t>
  </si>
  <si>
    <t xml:space="preserve">Administratief en technisch personeel 
(inclusief integratiekader ATP) (2)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</si>
</sst>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B_F_-;\-* #,##0.00\ _B_F_-;_-* &quot;-&quot;??\ _B_F_-;_-@_-"/>
    <numFmt numFmtId="165" formatCode="#,##0;0;&quot;-&quot;"/>
    <numFmt numFmtId="166" formatCode="#,##0.0;0.0;&quot;-&quot;"/>
  </numFmts>
  <fonts count="43">
    <font>
      <sz val="10"/>
      <name val="MS Sans Serif"/>
      <family val="0"/>
    </font>
    <font>
      <sz val="11"/>
      <color indexed="8"/>
      <name val="Calibri"/>
      <family val="2"/>
    </font>
    <font>
      <b/>
      <sz val="10"/>
      <name val="Arial"/>
      <family val="2"/>
    </font>
    <font>
      <sz val="10"/>
      <name val="Arial"/>
      <family val="2"/>
    </font>
    <font>
      <sz val="10"/>
      <color indexed="9"/>
      <name val="Arial"/>
      <family val="2"/>
    </font>
    <font>
      <sz val="8"/>
      <name val="MS Sans Serif"/>
      <family val="2"/>
    </font>
    <font>
      <b/>
      <sz val="12"/>
      <name val="Arial"/>
      <family val="2"/>
    </font>
    <font>
      <sz val="8"/>
      <name val="Arial"/>
      <family val="2"/>
    </font>
    <font>
      <i/>
      <sz val="10"/>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style="thin"/>
    </border>
    <border>
      <left/>
      <right/>
      <top style="medium"/>
      <bottom style="thin"/>
    </border>
    <border>
      <left/>
      <right/>
      <top/>
      <bottom style="thin"/>
    </border>
    <border>
      <left style="thin"/>
      <right/>
      <top/>
      <bottom style="thin"/>
    </border>
    <border>
      <left style="thin"/>
      <right/>
      <top/>
      <bottom/>
    </border>
    <border>
      <left style="thin"/>
      <right/>
      <top style="medium"/>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style="medium"/>
      <bottom/>
    </border>
    <border>
      <left/>
      <right style="thin"/>
      <top/>
      <bottom style="thin"/>
    </border>
    <border>
      <left/>
      <right style="thin"/>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0" fillId="0" borderId="0">
      <alignment/>
      <protection/>
    </xf>
    <xf numFmtId="0" fontId="3" fillId="0" borderId="0" applyBorder="0">
      <alignment/>
      <protection/>
    </xf>
    <xf numFmtId="0" fontId="3" fillId="0" borderId="0">
      <alignment/>
      <protection/>
    </xf>
    <xf numFmtId="0" fontId="3" fillId="0" borderId="0">
      <alignment/>
      <protection/>
    </xf>
    <xf numFmtId="0" fontId="7" fillId="0" borderId="0">
      <alignment/>
      <protection/>
    </xf>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194">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3" fontId="2" fillId="0" borderId="0" xfId="0" applyNumberFormat="1" applyFont="1" applyAlignment="1">
      <alignment horizontal="centerContinuous"/>
    </xf>
    <xf numFmtId="3" fontId="3" fillId="0" borderId="0" xfId="0" applyNumberFormat="1" applyFont="1" applyAlignment="1">
      <alignment horizontal="centerContinuous"/>
    </xf>
    <xf numFmtId="0" fontId="3" fillId="0" borderId="0" xfId="0" applyFont="1" applyAlignment="1">
      <alignment horizontal="centerContinuous"/>
    </xf>
    <xf numFmtId="3" fontId="3" fillId="0" borderId="10" xfId="0" applyNumberFormat="1"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horizontal="center"/>
    </xf>
    <xf numFmtId="3" fontId="3" fillId="0" borderId="12" xfId="0" applyNumberFormat="1" applyFont="1" applyBorder="1" applyAlignment="1">
      <alignment/>
    </xf>
    <xf numFmtId="3" fontId="3" fillId="0" borderId="12" xfId="0" applyNumberFormat="1" applyFont="1" applyBorder="1" applyAlignment="1">
      <alignment/>
    </xf>
    <xf numFmtId="3" fontId="3" fillId="0" borderId="13" xfId="0" applyNumberFormat="1" applyFont="1" applyBorder="1" applyAlignment="1">
      <alignment/>
    </xf>
    <xf numFmtId="3" fontId="3"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0" xfId="0" applyNumberFormat="1" applyFont="1" applyBorder="1" applyAlignment="1">
      <alignment/>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xf>
    <xf numFmtId="165" fontId="2" fillId="0" borderId="0" xfId="0" applyNumberFormat="1" applyFont="1" applyBorder="1" applyAlignment="1">
      <alignment/>
    </xf>
    <xf numFmtId="3" fontId="2" fillId="0" borderId="0" xfId="0" applyNumberFormat="1" applyFont="1" applyBorder="1" applyAlignment="1">
      <alignment horizontal="right"/>
    </xf>
    <xf numFmtId="3" fontId="4" fillId="0" borderId="0" xfId="0" applyNumberFormat="1" applyFont="1" applyAlignment="1">
      <alignment horizontal="centerContinuous"/>
    </xf>
    <xf numFmtId="3" fontId="3" fillId="0" borderId="10" xfId="0" applyNumberFormat="1" applyFont="1" applyBorder="1" applyAlignment="1">
      <alignment horizontal="center"/>
    </xf>
    <xf numFmtId="3" fontId="3" fillId="0" borderId="16" xfId="0" applyNumberFormat="1" applyFont="1" applyBorder="1" applyAlignment="1">
      <alignment horizontal="center"/>
    </xf>
    <xf numFmtId="3" fontId="3" fillId="0" borderId="0" xfId="0" applyNumberFormat="1" applyFont="1" applyAlignment="1">
      <alignment horizontal="center"/>
    </xf>
    <xf numFmtId="3" fontId="3" fillId="0" borderId="17" xfId="0" applyNumberFormat="1" applyFont="1" applyBorder="1" applyAlignment="1">
      <alignment horizontal="right"/>
    </xf>
    <xf numFmtId="3" fontId="3" fillId="0" borderId="18" xfId="0" applyNumberFormat="1" applyFont="1" applyBorder="1" applyAlignment="1">
      <alignment horizontal="right"/>
    </xf>
    <xf numFmtId="3" fontId="3" fillId="0" borderId="0" xfId="57" applyNumberFormat="1" applyFont="1">
      <alignment/>
      <protection/>
    </xf>
    <xf numFmtId="3" fontId="2" fillId="0" borderId="0" xfId="57" applyNumberFormat="1" applyFont="1" applyAlignment="1">
      <alignment horizontal="centerContinuous"/>
      <protection/>
    </xf>
    <xf numFmtId="3" fontId="3" fillId="0" borderId="0" xfId="57" applyNumberFormat="1" applyFont="1" applyAlignment="1">
      <alignment horizontal="centerContinuous"/>
      <protection/>
    </xf>
    <xf numFmtId="0" fontId="3" fillId="0" borderId="0" xfId="57" applyFont="1" applyAlignment="1">
      <alignment horizontal="centerContinuous"/>
      <protection/>
    </xf>
    <xf numFmtId="0" fontId="3" fillId="0" borderId="0" xfId="57" applyFont="1">
      <alignment/>
      <protection/>
    </xf>
    <xf numFmtId="165" fontId="3" fillId="0" borderId="0" xfId="57" applyNumberFormat="1" applyFont="1">
      <alignment/>
      <protection/>
    </xf>
    <xf numFmtId="165" fontId="3" fillId="0" borderId="0" xfId="57" applyNumberFormat="1" applyFont="1" applyAlignment="1">
      <alignment horizontal="centerContinuous"/>
      <protection/>
    </xf>
    <xf numFmtId="165" fontId="2" fillId="0" borderId="0" xfId="57" applyNumberFormat="1" applyFont="1" applyAlignment="1">
      <alignment horizontal="centerContinuous"/>
      <protection/>
    </xf>
    <xf numFmtId="3" fontId="3" fillId="0" borderId="10" xfId="57" applyNumberFormat="1" applyFont="1" applyBorder="1" applyAlignment="1">
      <alignment horizontal="center"/>
      <protection/>
    </xf>
    <xf numFmtId="165" fontId="3" fillId="0" borderId="16" xfId="57" applyNumberFormat="1" applyFont="1" applyBorder="1" applyAlignment="1">
      <alignment horizontal="centerContinuous"/>
      <protection/>
    </xf>
    <xf numFmtId="165" fontId="3" fillId="0" borderId="10" xfId="57" applyNumberFormat="1" applyFont="1" applyBorder="1" applyAlignment="1">
      <alignment horizontal="centerContinuous"/>
      <protection/>
    </xf>
    <xf numFmtId="165" fontId="3" fillId="0" borderId="17" xfId="57" applyNumberFormat="1" applyFont="1" applyBorder="1" applyAlignment="1">
      <alignment horizontal="centerContinuous"/>
      <protection/>
    </xf>
    <xf numFmtId="165" fontId="3" fillId="0" borderId="18" xfId="57" applyNumberFormat="1" applyFont="1" applyBorder="1" applyAlignment="1">
      <alignment horizontal="centerContinuous"/>
      <protection/>
    </xf>
    <xf numFmtId="3" fontId="3" fillId="0" borderId="0" xfId="57" applyNumberFormat="1" applyFont="1" applyBorder="1" applyAlignment="1">
      <alignment horizontal="right"/>
      <protection/>
    </xf>
    <xf numFmtId="165" fontId="3" fillId="0" borderId="15" xfId="57" applyNumberFormat="1" applyFont="1" applyBorder="1" applyAlignment="1">
      <alignment horizontal="right"/>
      <protection/>
    </xf>
    <xf numFmtId="165" fontId="3" fillId="0" borderId="0" xfId="57" applyNumberFormat="1" applyFont="1" applyBorder="1" applyAlignment="1">
      <alignment horizontal="right"/>
      <protection/>
    </xf>
    <xf numFmtId="165" fontId="3" fillId="0" borderId="15" xfId="57" applyNumberFormat="1" applyFont="1" applyBorder="1">
      <alignment/>
      <protection/>
    </xf>
    <xf numFmtId="165" fontId="3" fillId="0" borderId="13" xfId="57" applyNumberFormat="1" applyFont="1" applyBorder="1">
      <alignment/>
      <protection/>
    </xf>
    <xf numFmtId="3" fontId="2" fillId="0" borderId="0" xfId="57" applyNumberFormat="1" applyFont="1" applyAlignment="1">
      <alignment horizontal="right"/>
      <protection/>
    </xf>
    <xf numFmtId="165" fontId="2" fillId="0" borderId="19" xfId="57" applyNumberFormat="1" applyFont="1" applyBorder="1">
      <alignment/>
      <protection/>
    </xf>
    <xf numFmtId="165" fontId="2" fillId="0" borderId="20" xfId="57" applyNumberFormat="1" applyFont="1" applyBorder="1">
      <alignment/>
      <protection/>
    </xf>
    <xf numFmtId="3" fontId="3" fillId="0" borderId="0" xfId="58" applyNumberFormat="1" applyFont="1">
      <alignment/>
      <protection/>
    </xf>
    <xf numFmtId="0" fontId="3" fillId="0" borderId="0" xfId="58">
      <alignment/>
      <protection/>
    </xf>
    <xf numFmtId="3" fontId="2" fillId="0" borderId="0" xfId="58" applyNumberFormat="1" applyFont="1" applyAlignment="1">
      <alignment horizontal="centerContinuous"/>
      <protection/>
    </xf>
    <xf numFmtId="3" fontId="3" fillId="0" borderId="0" xfId="58" applyNumberFormat="1" applyFont="1" applyAlignment="1">
      <alignment horizontal="centerContinuous"/>
      <protection/>
    </xf>
    <xf numFmtId="0" fontId="3" fillId="0" borderId="0" xfId="58" applyFont="1" applyAlignment="1">
      <alignment horizontal="centerContinuous"/>
      <protection/>
    </xf>
    <xf numFmtId="0" fontId="3" fillId="0" borderId="0" xfId="58" applyFont="1">
      <alignment/>
      <protection/>
    </xf>
    <xf numFmtId="165" fontId="3" fillId="0" borderId="0" xfId="58" applyNumberFormat="1" applyFont="1">
      <alignment/>
      <protection/>
    </xf>
    <xf numFmtId="165" fontId="3" fillId="0" borderId="0" xfId="58" applyNumberFormat="1" applyFont="1" applyAlignment="1">
      <alignment horizontal="centerContinuous"/>
      <protection/>
    </xf>
    <xf numFmtId="165" fontId="2" fillId="0" borderId="0" xfId="58" applyNumberFormat="1" applyFont="1" applyAlignment="1">
      <alignment horizontal="centerContinuous"/>
      <protection/>
    </xf>
    <xf numFmtId="3" fontId="3" fillId="0" borderId="10" xfId="58" applyNumberFormat="1" applyFont="1" applyBorder="1" applyAlignment="1">
      <alignment horizontal="center"/>
      <protection/>
    </xf>
    <xf numFmtId="165" fontId="3" fillId="0" borderId="16" xfId="58" applyNumberFormat="1" applyFont="1" applyBorder="1" applyAlignment="1">
      <alignment horizontal="centerContinuous"/>
      <protection/>
    </xf>
    <xf numFmtId="165" fontId="3" fillId="0" borderId="10" xfId="58" applyNumberFormat="1" applyFont="1" applyBorder="1" applyAlignment="1">
      <alignment horizontal="centerContinuous"/>
      <protection/>
    </xf>
    <xf numFmtId="165" fontId="3" fillId="0" borderId="17" xfId="58" applyNumberFormat="1" applyFont="1" applyBorder="1" applyAlignment="1">
      <alignment horizontal="centerContinuous"/>
      <protection/>
    </xf>
    <xf numFmtId="165" fontId="3" fillId="0" borderId="18" xfId="58" applyNumberFormat="1" applyFont="1" applyBorder="1" applyAlignment="1">
      <alignment horizontal="centerContinuous"/>
      <protection/>
    </xf>
    <xf numFmtId="3" fontId="3" fillId="0" borderId="0" xfId="58" applyNumberFormat="1" applyFont="1" applyBorder="1" applyAlignment="1">
      <alignment horizontal="right"/>
      <protection/>
    </xf>
    <xf numFmtId="165" fontId="3" fillId="0" borderId="15" xfId="58" applyNumberFormat="1" applyFont="1" applyBorder="1" applyAlignment="1">
      <alignment horizontal="right"/>
      <protection/>
    </xf>
    <xf numFmtId="165" fontId="3" fillId="0" borderId="0" xfId="58" applyNumberFormat="1" applyFont="1" applyBorder="1" applyAlignment="1">
      <alignment horizontal="right"/>
      <protection/>
    </xf>
    <xf numFmtId="165" fontId="3" fillId="0" borderId="15" xfId="58" applyNumberFormat="1" applyFont="1" applyBorder="1">
      <alignment/>
      <protection/>
    </xf>
    <xf numFmtId="165" fontId="3" fillId="0" borderId="13" xfId="58" applyNumberFormat="1" applyFont="1" applyBorder="1">
      <alignment/>
      <protection/>
    </xf>
    <xf numFmtId="3" fontId="2" fillId="0" borderId="0" xfId="58" applyNumberFormat="1" applyFont="1" applyAlignment="1">
      <alignment horizontal="right"/>
      <protection/>
    </xf>
    <xf numFmtId="165" fontId="2" fillId="0" borderId="19" xfId="58" applyNumberFormat="1" applyFont="1" applyBorder="1">
      <alignment/>
      <protection/>
    </xf>
    <xf numFmtId="165" fontId="2" fillId="0" borderId="20" xfId="58" applyNumberFormat="1" applyFont="1" applyBorder="1">
      <alignment/>
      <protection/>
    </xf>
    <xf numFmtId="165" fontId="2" fillId="0" borderId="15" xfId="0" applyNumberFormat="1" applyFont="1" applyBorder="1" applyAlignment="1">
      <alignment horizontal="right"/>
    </xf>
    <xf numFmtId="165" fontId="2" fillId="0" borderId="0" xfId="0" applyNumberFormat="1" applyFont="1" applyBorder="1" applyAlignment="1">
      <alignment horizontal="right"/>
    </xf>
    <xf numFmtId="3" fontId="3" fillId="0" borderId="14" xfId="0" applyNumberFormat="1" applyFont="1" applyBorder="1" applyAlignment="1">
      <alignment horizontal="center"/>
    </xf>
    <xf numFmtId="3" fontId="3" fillId="0" borderId="13"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3" fontId="3" fillId="0" borderId="13" xfId="57" applyNumberFormat="1" applyFont="1" applyBorder="1" applyAlignment="1">
      <alignment horizontal="left"/>
      <protection/>
    </xf>
    <xf numFmtId="3" fontId="3" fillId="0" borderId="13" xfId="58" applyNumberFormat="1" applyFont="1" applyBorder="1" applyAlignment="1">
      <alignment horizontal="left"/>
      <protection/>
    </xf>
    <xf numFmtId="165" fontId="3" fillId="0" borderId="15" xfId="57" applyNumberFormat="1" applyBorder="1">
      <alignment/>
      <protection/>
    </xf>
    <xf numFmtId="165" fontId="3" fillId="0" borderId="0" xfId="57" applyNumberFormat="1">
      <alignment/>
      <protection/>
    </xf>
    <xf numFmtId="165" fontId="3" fillId="0" borderId="14" xfId="57" applyNumberFormat="1" applyBorder="1">
      <alignment/>
      <protection/>
    </xf>
    <xf numFmtId="0" fontId="2" fillId="0" borderId="0" xfId="0" applyFont="1" applyAlignment="1">
      <alignment/>
    </xf>
    <xf numFmtId="0" fontId="3" fillId="0" borderId="0" xfId="0" applyFont="1" applyAlignment="1">
      <alignment/>
    </xf>
    <xf numFmtId="0" fontId="6" fillId="0" borderId="0" xfId="0" applyFont="1" applyAlignment="1">
      <alignment/>
    </xf>
    <xf numFmtId="3" fontId="2" fillId="0" borderId="0" xfId="57" applyNumberFormat="1" applyFont="1">
      <alignment/>
      <protection/>
    </xf>
    <xf numFmtId="0" fontId="3" fillId="0" borderId="0" xfId="0" applyFont="1" applyAlignment="1">
      <alignment/>
    </xf>
    <xf numFmtId="3" fontId="2" fillId="0" borderId="0" xfId="57" applyNumberFormat="1" applyFont="1" applyFill="1" applyProtection="1">
      <alignment/>
      <protection locked="0"/>
    </xf>
    <xf numFmtId="3" fontId="3" fillId="0" borderId="0" xfId="57" applyNumberFormat="1" applyFont="1" applyFill="1" applyProtection="1">
      <alignment/>
      <protection locked="0"/>
    </xf>
    <xf numFmtId="0" fontId="3" fillId="0" borderId="0" xfId="57" applyFont="1" applyFill="1" applyProtection="1">
      <alignment/>
      <protection locked="0"/>
    </xf>
    <xf numFmtId="165" fontId="3" fillId="0" borderId="0" xfId="57" applyNumberFormat="1" applyFont="1" applyFill="1" applyProtection="1">
      <alignment/>
      <protection locked="0"/>
    </xf>
    <xf numFmtId="3" fontId="3" fillId="0" borderId="10" xfId="57" applyNumberFormat="1" applyFont="1" applyFill="1" applyBorder="1" applyAlignment="1" applyProtection="1">
      <alignment horizontal="center"/>
      <protection locked="0"/>
    </xf>
    <xf numFmtId="165" fontId="3" fillId="0" borderId="10" xfId="57" applyNumberFormat="1" applyFont="1" applyFill="1" applyBorder="1" applyAlignment="1" applyProtection="1">
      <alignment horizontal="centerContinuous"/>
      <protection locked="0"/>
    </xf>
    <xf numFmtId="3" fontId="3" fillId="0" borderId="13" xfId="57" applyNumberFormat="1" applyFont="1" applyFill="1" applyBorder="1" applyAlignment="1" applyProtection="1">
      <alignment horizontal="center"/>
      <protection locked="0"/>
    </xf>
    <xf numFmtId="165" fontId="3" fillId="0" borderId="17" xfId="57" applyNumberFormat="1" applyFont="1" applyFill="1" applyBorder="1" applyAlignment="1" applyProtection="1">
      <alignment horizontal="centerContinuous"/>
      <protection locked="0"/>
    </xf>
    <xf numFmtId="165" fontId="3" fillId="0" borderId="18" xfId="57" applyNumberFormat="1" applyFont="1" applyFill="1" applyBorder="1" applyAlignment="1" applyProtection="1">
      <alignment horizontal="centerContinuous"/>
      <protection locked="0"/>
    </xf>
    <xf numFmtId="165" fontId="3" fillId="0" borderId="21" xfId="57" applyNumberFormat="1" applyFont="1" applyFill="1" applyBorder="1" applyAlignment="1" applyProtection="1">
      <alignment horizontal="center"/>
      <protection locked="0"/>
    </xf>
    <xf numFmtId="165" fontId="3" fillId="0" borderId="21" xfId="57" applyNumberFormat="1" applyFont="1" applyFill="1" applyBorder="1" applyAlignment="1" applyProtection="1">
      <alignment horizontal="centerContinuous"/>
      <protection locked="0"/>
    </xf>
    <xf numFmtId="3" fontId="3" fillId="0" borderId="0" xfId="57" applyNumberFormat="1" applyFont="1" applyFill="1" applyBorder="1" applyAlignment="1" applyProtection="1">
      <alignment horizontal="right"/>
      <protection locked="0"/>
    </xf>
    <xf numFmtId="165" fontId="3" fillId="0" borderId="15" xfId="57" applyNumberFormat="1" applyFont="1" applyFill="1" applyBorder="1" applyAlignment="1" applyProtection="1">
      <alignment horizontal="right"/>
      <protection locked="0"/>
    </xf>
    <xf numFmtId="165" fontId="3" fillId="0" borderId="0" xfId="57" applyNumberFormat="1" applyFont="1" applyFill="1" applyBorder="1" applyAlignment="1" applyProtection="1">
      <alignment horizontal="right"/>
      <protection locked="0"/>
    </xf>
    <xf numFmtId="165" fontId="3" fillId="0" borderId="22" xfId="57" applyNumberFormat="1" applyFont="1" applyFill="1" applyBorder="1" applyAlignment="1" applyProtection="1">
      <alignment horizontal="right"/>
      <protection locked="0"/>
    </xf>
    <xf numFmtId="165" fontId="3" fillId="0" borderId="23" xfId="57" applyNumberFormat="1" applyFont="1" applyFill="1" applyBorder="1" applyAlignment="1" applyProtection="1">
      <alignment horizontal="right"/>
      <protection locked="0"/>
    </xf>
    <xf numFmtId="1" fontId="3" fillId="0" borderId="0" xfId="46" applyNumberFormat="1" applyFont="1" applyFill="1" applyAlignment="1" applyProtection="1">
      <alignment/>
      <protection locked="0"/>
    </xf>
    <xf numFmtId="4" fontId="3" fillId="0" borderId="15" xfId="57" applyNumberFormat="1" applyFont="1" applyFill="1" applyBorder="1" applyProtection="1">
      <alignment/>
      <protection locked="0"/>
    </xf>
    <xf numFmtId="4" fontId="3" fillId="0" borderId="0" xfId="57" applyNumberFormat="1" applyFont="1" applyFill="1" applyProtection="1">
      <alignment/>
      <protection locked="0"/>
    </xf>
    <xf numFmtId="4" fontId="42" fillId="0" borderId="15" xfId="55" applyNumberFormat="1" applyFont="1" applyFill="1" applyBorder="1" applyProtection="1">
      <alignment/>
      <protection locked="0"/>
    </xf>
    <xf numFmtId="4" fontId="42" fillId="0" borderId="0" xfId="55" applyNumberFormat="1" applyFont="1" applyFill="1" applyProtection="1">
      <alignment/>
      <protection locked="0"/>
    </xf>
    <xf numFmtId="4" fontId="3" fillId="0" borderId="0" xfId="57" applyNumberFormat="1" applyFont="1" applyFill="1" applyBorder="1" applyProtection="1">
      <alignment/>
      <protection locked="0"/>
    </xf>
    <xf numFmtId="4" fontId="3" fillId="0" borderId="22" xfId="57" applyNumberFormat="1" applyFont="1" applyFill="1" applyBorder="1" applyProtection="1">
      <alignment/>
      <protection locked="0"/>
    </xf>
    <xf numFmtId="4" fontId="3" fillId="0" borderId="15" xfId="57" applyNumberFormat="1" applyFont="1" applyFill="1" applyBorder="1" applyAlignment="1" applyProtection="1">
      <alignment horizontal="right"/>
      <protection locked="0"/>
    </xf>
    <xf numFmtId="3" fontId="2" fillId="0" borderId="0" xfId="57" applyNumberFormat="1" applyFont="1" applyFill="1" applyAlignment="1" applyProtection="1">
      <alignment horizontal="right"/>
      <protection locked="0"/>
    </xf>
    <xf numFmtId="4" fontId="2" fillId="0" borderId="19" xfId="57" applyNumberFormat="1" applyFont="1" applyFill="1" applyBorder="1" applyProtection="1">
      <alignment/>
      <protection locked="0"/>
    </xf>
    <xf numFmtId="4" fontId="2" fillId="0" borderId="20" xfId="57" applyNumberFormat="1" applyFont="1" applyFill="1" applyBorder="1" applyProtection="1">
      <alignment/>
      <protection locked="0"/>
    </xf>
    <xf numFmtId="4" fontId="2" fillId="0" borderId="23" xfId="57" applyNumberFormat="1" applyFont="1" applyFill="1" applyBorder="1" applyProtection="1">
      <alignment/>
      <protection locked="0"/>
    </xf>
    <xf numFmtId="0" fontId="2" fillId="0" borderId="0" xfId="57" applyFont="1" applyFill="1" applyProtection="1">
      <alignment/>
      <protection locked="0"/>
    </xf>
    <xf numFmtId="166" fontId="2" fillId="0" borderId="0" xfId="57" applyNumberFormat="1" applyFont="1" applyFill="1" applyBorder="1" applyProtection="1">
      <alignment/>
      <protection locked="0"/>
    </xf>
    <xf numFmtId="0" fontId="3" fillId="0" borderId="0" xfId="59" applyFont="1" applyFill="1" applyProtection="1">
      <alignment/>
      <protection locked="0"/>
    </xf>
    <xf numFmtId="0" fontId="8" fillId="0" borderId="0" xfId="57" applyFont="1" applyFill="1" applyProtection="1">
      <alignment/>
      <protection locked="0"/>
    </xf>
    <xf numFmtId="1" fontId="3" fillId="0" borderId="24" xfId="57" applyNumberFormat="1" applyFont="1" applyFill="1" applyBorder="1" applyAlignment="1" applyProtection="1">
      <alignment horizontal="center"/>
      <protection locked="0"/>
    </xf>
    <xf numFmtId="1" fontId="3" fillId="0" borderId="0" xfId="57" applyNumberFormat="1" applyFill="1" applyProtection="1">
      <alignment/>
      <protection locked="0"/>
    </xf>
    <xf numFmtId="3" fontId="3" fillId="0" borderId="25" xfId="57" applyNumberFormat="1" applyFont="1" applyFill="1" applyBorder="1" applyAlignment="1" applyProtection="1">
      <alignment horizontal="center"/>
      <protection locked="0"/>
    </xf>
    <xf numFmtId="0" fontId="3" fillId="0" borderId="0" xfId="57" applyFill="1" applyProtection="1">
      <alignment/>
      <protection locked="0"/>
    </xf>
    <xf numFmtId="3" fontId="3" fillId="0" borderId="22" xfId="57" applyNumberFormat="1" applyFont="1" applyFill="1" applyBorder="1" applyAlignment="1" applyProtection="1">
      <alignment horizontal="right"/>
      <protection locked="0"/>
    </xf>
    <xf numFmtId="3" fontId="2" fillId="0" borderId="22" xfId="57" applyNumberFormat="1" applyFont="1" applyFill="1" applyBorder="1" applyProtection="1">
      <alignment/>
      <protection locked="0"/>
    </xf>
    <xf numFmtId="165" fontId="3" fillId="0" borderId="15" xfId="57" applyNumberFormat="1" applyFont="1" applyFill="1" applyBorder="1" applyProtection="1">
      <alignment/>
      <protection locked="0"/>
    </xf>
    <xf numFmtId="3" fontId="3" fillId="0" borderId="22" xfId="57" applyNumberFormat="1" applyFont="1" applyFill="1" applyBorder="1" applyProtection="1">
      <alignment/>
      <protection locked="0"/>
    </xf>
    <xf numFmtId="3" fontId="2" fillId="0" borderId="22" xfId="57" applyNumberFormat="1" applyFont="1" applyFill="1" applyBorder="1" applyAlignment="1" applyProtection="1">
      <alignment horizontal="right"/>
      <protection locked="0"/>
    </xf>
    <xf numFmtId="3" fontId="2" fillId="0" borderId="22" xfId="57" applyNumberFormat="1" applyFont="1" applyFill="1" applyBorder="1" applyAlignment="1" applyProtection="1">
      <alignment wrapText="1" shrinkToFit="1"/>
      <protection locked="0"/>
    </xf>
    <xf numFmtId="3" fontId="2" fillId="0" borderId="0" xfId="57" applyNumberFormat="1" applyFont="1" applyFill="1" applyBorder="1" applyAlignment="1" applyProtection="1">
      <alignment horizontal="right"/>
      <protection locked="0"/>
    </xf>
    <xf numFmtId="4" fontId="3" fillId="0" borderId="0" xfId="57" applyNumberFormat="1" applyFill="1" applyProtection="1">
      <alignment/>
      <protection locked="0"/>
    </xf>
    <xf numFmtId="4" fontId="3" fillId="0" borderId="22" xfId="57" applyNumberFormat="1" applyFill="1" applyBorder="1" applyProtection="1">
      <alignment/>
      <protection locked="0"/>
    </xf>
    <xf numFmtId="4" fontId="2" fillId="0" borderId="15" xfId="57" applyNumberFormat="1" applyFont="1" applyFill="1" applyBorder="1" applyProtection="1">
      <alignment/>
      <protection locked="0"/>
    </xf>
    <xf numFmtId="4" fontId="2" fillId="0" borderId="0" xfId="57" applyNumberFormat="1" applyFont="1" applyFill="1" applyProtection="1">
      <alignment/>
      <protection locked="0"/>
    </xf>
    <xf numFmtId="4" fontId="2" fillId="0" borderId="22" xfId="57" applyNumberFormat="1" applyFont="1" applyFill="1" applyBorder="1" applyProtection="1">
      <alignment/>
      <protection locked="0"/>
    </xf>
    <xf numFmtId="0" fontId="7" fillId="0" borderId="0" xfId="57" applyFont="1" applyFill="1" applyProtection="1">
      <alignment/>
      <protection locked="0"/>
    </xf>
    <xf numFmtId="3" fontId="2" fillId="33" borderId="0" xfId="57" applyNumberFormat="1" applyFont="1" applyFill="1">
      <alignment/>
      <protection/>
    </xf>
    <xf numFmtId="3" fontId="3" fillId="33" borderId="0" xfId="57" applyNumberFormat="1" applyFont="1" applyFill="1">
      <alignment/>
      <protection/>
    </xf>
    <xf numFmtId="0" fontId="3" fillId="33" borderId="0" xfId="57" applyFont="1" applyFill="1">
      <alignment/>
      <protection/>
    </xf>
    <xf numFmtId="3" fontId="3" fillId="33" borderId="0" xfId="57" applyNumberFormat="1" applyFont="1" applyFill="1" applyAlignment="1">
      <alignment horizontal="centerContinuous"/>
      <protection/>
    </xf>
    <xf numFmtId="0" fontId="3" fillId="33" borderId="0" xfId="57" applyFill="1">
      <alignment/>
      <protection/>
    </xf>
    <xf numFmtId="165" fontId="3" fillId="33" borderId="0" xfId="57" applyNumberFormat="1" applyFont="1" applyFill="1">
      <alignment/>
      <protection/>
    </xf>
    <xf numFmtId="0" fontId="3" fillId="33" borderId="10" xfId="57" applyFill="1" applyBorder="1">
      <alignment/>
      <protection/>
    </xf>
    <xf numFmtId="0" fontId="3" fillId="33" borderId="16" xfId="57" applyFont="1" applyFill="1" applyBorder="1" applyAlignment="1">
      <alignment horizontal="centerContinuous"/>
      <protection/>
    </xf>
    <xf numFmtId="0" fontId="3" fillId="33" borderId="10" xfId="57" applyFont="1" applyFill="1" applyBorder="1" applyAlignment="1">
      <alignment horizontal="centerContinuous"/>
      <protection/>
    </xf>
    <xf numFmtId="0" fontId="3" fillId="33" borderId="24" xfId="57" applyFont="1" applyFill="1" applyBorder="1" applyAlignment="1">
      <alignment horizontal="centerContinuous"/>
      <protection/>
    </xf>
    <xf numFmtId="0" fontId="3" fillId="33" borderId="0" xfId="57" applyFill="1" applyBorder="1">
      <alignment/>
      <protection/>
    </xf>
    <xf numFmtId="0" fontId="3" fillId="33" borderId="15" xfId="57" applyFont="1" applyFill="1" applyBorder="1" applyAlignment="1">
      <alignment horizontal="centerContinuous"/>
      <protection/>
    </xf>
    <xf numFmtId="0" fontId="3" fillId="33" borderId="0" xfId="57" applyFont="1" applyFill="1" applyBorder="1" applyAlignment="1">
      <alignment horizontal="centerContinuous"/>
      <protection/>
    </xf>
    <xf numFmtId="0" fontId="3" fillId="33" borderId="22" xfId="57" applyFont="1" applyFill="1" applyBorder="1" applyAlignment="1">
      <alignment horizontal="centerContinuous"/>
      <protection/>
    </xf>
    <xf numFmtId="0" fontId="3" fillId="33" borderId="0" xfId="57" applyFont="1" applyFill="1" applyBorder="1" applyAlignment="1">
      <alignment/>
      <protection/>
    </xf>
    <xf numFmtId="0" fontId="3" fillId="33" borderId="14" xfId="57" applyFont="1" applyFill="1" applyBorder="1" applyAlignment="1">
      <alignment horizontal="centerContinuous"/>
      <protection/>
    </xf>
    <xf numFmtId="0" fontId="3" fillId="33" borderId="13" xfId="57" applyFont="1" applyFill="1" applyBorder="1" applyAlignment="1">
      <alignment horizontal="centerContinuous"/>
      <protection/>
    </xf>
    <xf numFmtId="0" fontId="3" fillId="33" borderId="25" xfId="57" applyFont="1" applyFill="1" applyBorder="1" applyAlignment="1">
      <alignment horizontal="centerContinuous"/>
      <protection/>
    </xf>
    <xf numFmtId="0" fontId="3" fillId="33" borderId="25" xfId="57" applyFill="1" applyBorder="1" applyAlignment="1">
      <alignment horizontal="center"/>
      <protection/>
    </xf>
    <xf numFmtId="0" fontId="3" fillId="33" borderId="17" xfId="57" applyFont="1" applyFill="1" applyBorder="1" applyAlignment="1">
      <alignment horizontal="center"/>
      <protection/>
    </xf>
    <xf numFmtId="0" fontId="3" fillId="33" borderId="18" xfId="57" applyFont="1" applyFill="1" applyBorder="1" applyAlignment="1">
      <alignment horizontal="center"/>
      <protection/>
    </xf>
    <xf numFmtId="0" fontId="3" fillId="33" borderId="21" xfId="57" applyFont="1" applyFill="1" applyBorder="1" applyAlignment="1">
      <alignment horizontal="center"/>
      <protection/>
    </xf>
    <xf numFmtId="0" fontId="3" fillId="33" borderId="0" xfId="57" applyFill="1" applyAlignment="1">
      <alignment horizontal="center"/>
      <protection/>
    </xf>
    <xf numFmtId="0" fontId="3" fillId="33" borderId="19" xfId="57" applyFont="1" applyFill="1" applyBorder="1" applyAlignment="1">
      <alignment horizontal="center"/>
      <protection/>
    </xf>
    <xf numFmtId="0" fontId="3" fillId="33" borderId="20" xfId="57" applyFont="1" applyFill="1" applyBorder="1" applyAlignment="1">
      <alignment horizontal="center"/>
      <protection/>
    </xf>
    <xf numFmtId="0" fontId="3" fillId="33" borderId="23" xfId="57" applyFont="1" applyFill="1" applyBorder="1" applyAlignment="1">
      <alignment horizontal="center"/>
      <protection/>
    </xf>
    <xf numFmtId="3" fontId="3" fillId="33" borderId="0" xfId="57" applyNumberFormat="1" applyFont="1" applyFill="1" applyBorder="1">
      <alignment/>
      <protection/>
    </xf>
    <xf numFmtId="165" fontId="3" fillId="33" borderId="15" xfId="57" applyNumberFormat="1" applyFill="1" applyBorder="1">
      <alignment/>
      <protection/>
    </xf>
    <xf numFmtId="165" fontId="3" fillId="33" borderId="0" xfId="57" applyNumberFormat="1" applyFill="1" applyBorder="1">
      <alignment/>
      <protection/>
    </xf>
    <xf numFmtId="165" fontId="3" fillId="33" borderId="22" xfId="57" applyNumberFormat="1" applyFill="1" applyBorder="1">
      <alignment/>
      <protection/>
    </xf>
    <xf numFmtId="165" fontId="3" fillId="33" borderId="0" xfId="57" applyNumberFormat="1" applyFill="1">
      <alignment/>
      <protection/>
    </xf>
    <xf numFmtId="3" fontId="2" fillId="33" borderId="0" xfId="57" applyNumberFormat="1" applyFont="1" applyFill="1" applyBorder="1" applyAlignment="1">
      <alignment horizontal="right"/>
      <protection/>
    </xf>
    <xf numFmtId="165" fontId="2" fillId="33" borderId="19" xfId="57" applyNumberFormat="1" applyFont="1" applyFill="1" applyBorder="1">
      <alignment/>
      <protection/>
    </xf>
    <xf numFmtId="165" fontId="2" fillId="33" borderId="20" xfId="57" applyNumberFormat="1" applyFont="1" applyFill="1" applyBorder="1">
      <alignment/>
      <protection/>
    </xf>
    <xf numFmtId="165" fontId="2" fillId="33" borderId="23" xfId="57" applyNumberFormat="1" applyFont="1" applyFill="1" applyBorder="1">
      <alignment/>
      <protection/>
    </xf>
    <xf numFmtId="0" fontId="2" fillId="33" borderId="0" xfId="57" applyFont="1" applyFill="1">
      <alignment/>
      <protection/>
    </xf>
    <xf numFmtId="1" fontId="3" fillId="33" borderId="0" xfId="46" applyNumberFormat="1" applyFont="1" applyFill="1" applyAlignment="1">
      <alignment/>
    </xf>
    <xf numFmtId="3" fontId="3" fillId="0" borderId="0" xfId="0" applyNumberFormat="1" applyFont="1" applyAlignment="1">
      <alignment/>
    </xf>
    <xf numFmtId="4" fontId="3" fillId="0" borderId="0" xfId="57" applyNumberFormat="1" applyFill="1" applyBorder="1" applyProtection="1">
      <alignment/>
      <protection locked="0"/>
    </xf>
    <xf numFmtId="4" fontId="2" fillId="0" borderId="0" xfId="57" applyNumberFormat="1" applyFont="1" applyFill="1" applyBorder="1" applyProtection="1">
      <alignment/>
      <protection locked="0"/>
    </xf>
    <xf numFmtId="1" fontId="2" fillId="0" borderId="0" xfId="46" applyNumberFormat="1" applyFont="1" applyFill="1" applyAlignment="1" applyProtection="1">
      <alignment horizontal="center"/>
      <protection locked="0"/>
    </xf>
    <xf numFmtId="3" fontId="2" fillId="0" borderId="0" xfId="57" applyNumberFormat="1" applyFont="1" applyFill="1" applyAlignment="1" applyProtection="1">
      <alignment horizontal="center"/>
      <protection locked="0"/>
    </xf>
    <xf numFmtId="1" fontId="3" fillId="0" borderId="11" xfId="46" applyNumberFormat="1" applyFont="1" applyFill="1" applyBorder="1" applyAlignment="1" applyProtection="1">
      <alignment horizontal="center" wrapText="1" shrinkToFit="1"/>
      <protection locked="0"/>
    </xf>
    <xf numFmtId="1" fontId="3" fillId="0" borderId="12" xfId="46" applyNumberFormat="1" applyFont="1" applyFill="1" applyBorder="1" applyAlignment="1" applyProtection="1">
      <alignment horizontal="center" wrapText="1" shrinkToFit="1"/>
      <protection locked="0"/>
    </xf>
    <xf numFmtId="1" fontId="3" fillId="0" borderId="26" xfId="46" applyNumberFormat="1" applyFont="1" applyFill="1" applyBorder="1" applyAlignment="1" applyProtection="1">
      <alignment horizontal="center" wrapText="1" shrinkToFit="1"/>
      <protection locked="0"/>
    </xf>
    <xf numFmtId="1" fontId="3" fillId="0" borderId="11" xfId="46" applyNumberFormat="1" applyFont="1" applyFill="1" applyBorder="1" applyAlignment="1" applyProtection="1">
      <alignment horizontal="center" wrapText="1"/>
      <protection locked="0"/>
    </xf>
    <xf numFmtId="1" fontId="3" fillId="0" borderId="12" xfId="46" applyNumberFormat="1" applyFont="1" applyFill="1" applyBorder="1" applyAlignment="1" applyProtection="1">
      <alignment horizontal="center" wrapText="1"/>
      <protection locked="0"/>
    </xf>
    <xf numFmtId="1" fontId="3" fillId="0" borderId="26" xfId="46" applyNumberFormat="1" applyFont="1" applyFill="1" applyBorder="1" applyAlignment="1" applyProtection="1">
      <alignment horizontal="center" wrapText="1"/>
      <protection locked="0"/>
    </xf>
    <xf numFmtId="1" fontId="3" fillId="0" borderId="11" xfId="57" applyNumberFormat="1" applyFont="1" applyFill="1" applyBorder="1" applyAlignment="1" applyProtection="1">
      <alignment horizontal="center"/>
      <protection locked="0"/>
    </xf>
    <xf numFmtId="1" fontId="3" fillId="0" borderId="12" xfId="57" applyNumberFormat="1" applyFont="1" applyFill="1" applyBorder="1" applyAlignment="1" applyProtection="1">
      <alignment horizontal="center"/>
      <protection locked="0"/>
    </xf>
    <xf numFmtId="1" fontId="3" fillId="0" borderId="26" xfId="57" applyNumberFormat="1" applyFont="1" applyFill="1" applyBorder="1" applyAlignment="1" applyProtection="1">
      <alignment horizontal="center"/>
      <protection locked="0"/>
    </xf>
    <xf numFmtId="0" fontId="3" fillId="33" borderId="16" xfId="57" applyFont="1" applyFill="1" applyBorder="1" applyAlignment="1">
      <alignment horizontal="center" wrapText="1" shrinkToFit="1"/>
      <protection/>
    </xf>
    <xf numFmtId="0" fontId="0" fillId="33" borderId="10" xfId="0" applyFill="1" applyBorder="1" applyAlignment="1">
      <alignment wrapText="1" shrinkToFit="1"/>
    </xf>
    <xf numFmtId="0" fontId="0" fillId="33" borderId="24" xfId="0" applyFill="1" applyBorder="1" applyAlignment="1">
      <alignment wrapText="1" shrinkToFit="1"/>
    </xf>
    <xf numFmtId="0" fontId="0" fillId="33" borderId="15" xfId="0" applyFill="1" applyBorder="1" applyAlignment="1">
      <alignment wrapText="1" shrinkToFit="1"/>
    </xf>
    <xf numFmtId="0" fontId="0" fillId="33" borderId="0" xfId="0" applyFill="1" applyAlignment="1">
      <alignment wrapText="1" shrinkToFit="1"/>
    </xf>
    <xf numFmtId="0" fontId="0" fillId="33" borderId="22" xfId="0" applyFill="1" applyBorder="1" applyAlignment="1">
      <alignment wrapText="1" shrinkToFit="1"/>
    </xf>
    <xf numFmtId="3" fontId="2" fillId="33" borderId="0" xfId="57" applyNumberFormat="1" applyFont="1" applyFill="1" applyAlignment="1">
      <alignment horizontal="center"/>
      <protection/>
    </xf>
    <xf numFmtId="1" fontId="2" fillId="33" borderId="0" xfId="46" applyNumberFormat="1"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_pers_un"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 3" xfId="56"/>
    <cellStyle name="Standaard_96PHOG03" xfId="57"/>
    <cellStyle name="Standaard_96PHOG04" xfId="58"/>
    <cellStyle name="Standaard_l_hoger0203"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4"/>
  <sheetViews>
    <sheetView tabSelected="1" zoomScalePageLayoutView="0" workbookViewId="0" topLeftCell="A1">
      <selection activeCell="Y52" sqref="Y52"/>
    </sheetView>
  </sheetViews>
  <sheetFormatPr defaultColWidth="9.140625" defaultRowHeight="12.75"/>
  <cols>
    <col min="1" max="1" width="9.140625" style="82" customWidth="1"/>
    <col min="2" max="2" width="3.8515625" style="82" customWidth="1"/>
    <col min="3" max="16384" width="9.140625" style="82" customWidth="1"/>
  </cols>
  <sheetData>
    <row r="1" ht="15">
      <c r="A1" s="83" t="s">
        <v>24</v>
      </c>
    </row>
    <row r="3" ht="12.75">
      <c r="A3" s="81" t="s">
        <v>26</v>
      </c>
    </row>
    <row r="4" spans="1:3" ht="12.75">
      <c r="A4" s="85" t="s">
        <v>69</v>
      </c>
      <c r="C4" s="82" t="s">
        <v>25</v>
      </c>
    </row>
    <row r="6" ht="12.75">
      <c r="A6" s="81" t="s">
        <v>27</v>
      </c>
    </row>
    <row r="7" spans="1:3" ht="12.75">
      <c r="A7" s="85" t="s">
        <v>70</v>
      </c>
      <c r="C7" s="82" t="s">
        <v>28</v>
      </c>
    </row>
    <row r="8" spans="1:3" ht="12.75">
      <c r="A8" s="85" t="s">
        <v>71</v>
      </c>
      <c r="C8" s="82" t="s">
        <v>29</v>
      </c>
    </row>
    <row r="10" spans="1:4" ht="15">
      <c r="A10" s="83" t="s">
        <v>48</v>
      </c>
      <c r="B10" s="85"/>
      <c r="C10" s="85"/>
      <c r="D10" s="85"/>
    </row>
    <row r="11" spans="1:4" ht="12.75">
      <c r="A11" s="85" t="s">
        <v>74</v>
      </c>
      <c r="B11" s="85"/>
      <c r="C11" s="85" t="s">
        <v>72</v>
      </c>
      <c r="D11" s="85"/>
    </row>
    <row r="12" spans="1:3" ht="12.75">
      <c r="A12" s="85" t="s">
        <v>75</v>
      </c>
      <c r="C12" s="172" t="s">
        <v>73</v>
      </c>
    </row>
    <row r="13" ht="12.75">
      <c r="A13" s="85"/>
    </row>
    <row r="14" ht="12.75">
      <c r="A14" s="85"/>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Y46" sqref="Y46"/>
    </sheetView>
  </sheetViews>
  <sheetFormatPr defaultColWidth="9.140625" defaultRowHeight="12.75"/>
  <cols>
    <col min="1" max="1" width="21.8515625" style="2" customWidth="1"/>
    <col min="2" max="10" width="7.8515625" style="2" customWidth="1"/>
    <col min="11" max="16384" width="9.140625" style="2" customWidth="1"/>
  </cols>
  <sheetData>
    <row r="1" ht="12.75">
      <c r="A1" s="84" t="s">
        <v>62</v>
      </c>
    </row>
    <row r="2" spans="1:10" ht="12.75">
      <c r="A2" s="3" t="s">
        <v>0</v>
      </c>
      <c r="B2" s="4"/>
      <c r="C2" s="5"/>
      <c r="D2" s="4"/>
      <c r="E2" s="5"/>
      <c r="F2" s="5"/>
      <c r="G2" s="4"/>
      <c r="H2" s="5"/>
      <c r="I2" s="4"/>
      <c r="J2" s="4"/>
    </row>
    <row r="3" spans="1:10" ht="12.75">
      <c r="A3" s="3"/>
      <c r="B3" s="4"/>
      <c r="C3" s="3"/>
      <c r="D3" s="4"/>
      <c r="E3" s="5"/>
      <c r="F3" s="5"/>
      <c r="G3" s="4"/>
      <c r="H3" s="5"/>
      <c r="I3" s="4"/>
      <c r="J3" s="4"/>
    </row>
    <row r="4" spans="1:10" ht="12.75">
      <c r="A4" s="3" t="s">
        <v>63</v>
      </c>
      <c r="B4" s="4"/>
      <c r="C4" s="3"/>
      <c r="D4" s="4"/>
      <c r="E4" s="5"/>
      <c r="F4" s="5"/>
      <c r="G4" s="4"/>
      <c r="H4" s="5"/>
      <c r="I4" s="4"/>
      <c r="J4" s="4"/>
    </row>
    <row r="5" spans="1:10" ht="12.75">
      <c r="A5" s="3"/>
      <c r="B5" s="4"/>
      <c r="C5" s="3"/>
      <c r="D5" s="4"/>
      <c r="E5" s="5"/>
      <c r="F5" s="5"/>
      <c r="G5" s="4"/>
      <c r="H5" s="5"/>
      <c r="I5" s="4"/>
      <c r="J5" s="4"/>
    </row>
    <row r="6" spans="1:10" ht="12.75">
      <c r="A6" s="3" t="s">
        <v>1</v>
      </c>
      <c r="B6" s="4"/>
      <c r="C6" s="3"/>
      <c r="D6" s="4"/>
      <c r="E6" s="4"/>
      <c r="F6" s="4"/>
      <c r="G6" s="4"/>
      <c r="H6" s="4"/>
      <c r="I6" s="4"/>
      <c r="J6" s="4"/>
    </row>
    <row r="7" ht="14.25" customHeight="1" thickBot="1"/>
    <row r="8" spans="1:10" ht="12.75">
      <c r="A8" s="6"/>
      <c r="B8" s="7"/>
      <c r="C8" s="8" t="s">
        <v>2</v>
      </c>
      <c r="D8" s="9"/>
      <c r="E8" s="7"/>
      <c r="F8" s="8" t="s">
        <v>3</v>
      </c>
      <c r="G8" s="9"/>
      <c r="H8" s="7"/>
      <c r="I8" s="8" t="s">
        <v>4</v>
      </c>
      <c r="J8" s="9"/>
    </row>
    <row r="9" spans="1:10" ht="12.75">
      <c r="A9" s="11"/>
      <c r="B9" s="72" t="s">
        <v>5</v>
      </c>
      <c r="C9" s="73" t="s">
        <v>6</v>
      </c>
      <c r="D9" s="73" t="s">
        <v>4</v>
      </c>
      <c r="E9" s="72" t="s">
        <v>5</v>
      </c>
      <c r="F9" s="73" t="s">
        <v>6</v>
      </c>
      <c r="G9" s="73" t="s">
        <v>4</v>
      </c>
      <c r="H9" s="72" t="s">
        <v>5</v>
      </c>
      <c r="I9" s="73" t="s">
        <v>6</v>
      </c>
      <c r="J9" s="73" t="s">
        <v>4</v>
      </c>
    </row>
    <row r="10" spans="1:10" ht="12.75">
      <c r="A10" s="14"/>
      <c r="B10" s="15"/>
      <c r="C10" s="16"/>
      <c r="D10" s="16"/>
      <c r="E10" s="15"/>
      <c r="F10" s="16"/>
      <c r="G10" s="16"/>
      <c r="H10" s="15"/>
      <c r="I10" s="16"/>
      <c r="J10" s="16"/>
    </row>
    <row r="11" spans="1:10" s="1" customFormat="1" ht="12.75">
      <c r="A11" s="20" t="s">
        <v>4</v>
      </c>
      <c r="B11" s="70">
        <f>1691+24</f>
        <v>1715</v>
      </c>
      <c r="C11" s="71">
        <f>2140+29</f>
        <v>2169</v>
      </c>
      <c r="D11" s="71">
        <f>SUM(B11:C11)</f>
        <v>3884</v>
      </c>
      <c r="E11" s="70">
        <f>1008+0</f>
        <v>1008</v>
      </c>
      <c r="F11" s="71">
        <f>1409+1</f>
        <v>1410</v>
      </c>
      <c r="G11" s="71">
        <f>SUM(E11:F11)</f>
        <v>2418</v>
      </c>
      <c r="H11" s="70">
        <f>SUM(B11,E11)</f>
        <v>2723</v>
      </c>
      <c r="I11" s="71">
        <f>SUM(C11,F11)</f>
        <v>3579</v>
      </c>
      <c r="J11" s="71">
        <f>SUM(H11:I11)</f>
        <v>6302</v>
      </c>
    </row>
    <row r="12" spans="1:10" s="1" customFormat="1" ht="12.75">
      <c r="A12" s="17"/>
      <c r="B12" s="19"/>
      <c r="C12" s="19"/>
      <c r="D12" s="19"/>
      <c r="E12" s="19"/>
      <c r="F12" s="19"/>
      <c r="G12" s="19"/>
      <c r="H12" s="19"/>
      <c r="I12" s="19"/>
      <c r="J12" s="19"/>
    </row>
    <row r="13" spans="1:10" s="1" customFormat="1" ht="12.75">
      <c r="A13" s="17"/>
      <c r="B13" s="19"/>
      <c r="C13" s="19"/>
      <c r="D13" s="19"/>
      <c r="E13" s="19"/>
      <c r="F13" s="19"/>
      <c r="G13" s="19"/>
      <c r="H13" s="19"/>
      <c r="I13" s="19"/>
      <c r="J13" s="19"/>
    </row>
    <row r="14" spans="1:10" s="1" customFormat="1" ht="12.75">
      <c r="A14" s="17"/>
      <c r="B14" s="19"/>
      <c r="C14" s="19"/>
      <c r="D14" s="19"/>
      <c r="E14" s="19"/>
      <c r="F14" s="19"/>
      <c r="G14" s="19"/>
      <c r="H14" s="19"/>
      <c r="I14" s="19"/>
      <c r="J14" s="19"/>
    </row>
    <row r="15" spans="1:10" s="1" customFormat="1" ht="12.75">
      <c r="A15" s="17"/>
      <c r="B15" s="19"/>
      <c r="C15" s="19"/>
      <c r="D15" s="19"/>
      <c r="E15" s="19"/>
      <c r="F15" s="19"/>
      <c r="G15" s="19"/>
      <c r="H15" s="19"/>
      <c r="I15" s="19"/>
      <c r="J15" s="19"/>
    </row>
    <row r="16" spans="1:10" s="1" customFormat="1" ht="12.75">
      <c r="A16" s="17"/>
      <c r="B16" s="19"/>
      <c r="C16" s="19"/>
      <c r="D16" s="19"/>
      <c r="E16" s="19"/>
      <c r="F16" s="19"/>
      <c r="G16" s="19"/>
      <c r="H16" s="19"/>
      <c r="I16" s="19"/>
      <c r="J16" s="19"/>
    </row>
    <row r="17" spans="1:10" s="1" customFormat="1" ht="12.75">
      <c r="A17" s="17"/>
      <c r="B17" s="19"/>
      <c r="C17" s="19"/>
      <c r="D17" s="19"/>
      <c r="E17" s="19"/>
      <c r="F17" s="19"/>
      <c r="G17" s="19"/>
      <c r="H17" s="19"/>
      <c r="I17" s="19"/>
      <c r="J17" s="19"/>
    </row>
    <row r="18" spans="1:10" s="1" customFormat="1" ht="12.75">
      <c r="A18" s="17"/>
      <c r="B18" s="19"/>
      <c r="C18" s="19"/>
      <c r="D18" s="19"/>
      <c r="E18" s="19"/>
      <c r="F18" s="19"/>
      <c r="G18" s="19"/>
      <c r="H18" s="19"/>
      <c r="I18" s="19"/>
      <c r="J18" s="19"/>
    </row>
    <row r="19" spans="1:10" s="1" customFormat="1" ht="12.75">
      <c r="A19" s="17"/>
      <c r="B19" s="19"/>
      <c r="C19" s="19"/>
      <c r="D19" s="19"/>
      <c r="E19" s="19"/>
      <c r="F19" s="19"/>
      <c r="G19" s="19"/>
      <c r="H19" s="19"/>
      <c r="I19" s="19"/>
      <c r="J19" s="19"/>
    </row>
    <row r="20" spans="1:10" s="1" customFormat="1" ht="12.75">
      <c r="A20" s="17"/>
      <c r="B20" s="19"/>
      <c r="C20" s="19"/>
      <c r="D20" s="19"/>
      <c r="E20" s="19"/>
      <c r="F20" s="19"/>
      <c r="G20" s="19"/>
      <c r="H20" s="19"/>
      <c r="I20" s="19"/>
      <c r="J20" s="19"/>
    </row>
    <row r="21" spans="1:10" s="1" customFormat="1" ht="12.75">
      <c r="A21" s="17"/>
      <c r="B21" s="19"/>
      <c r="C21" s="19"/>
      <c r="D21" s="19"/>
      <c r="E21" s="19"/>
      <c r="F21" s="19"/>
      <c r="G21" s="19"/>
      <c r="H21" s="19"/>
      <c r="I21" s="19"/>
      <c r="J21" s="19"/>
    </row>
    <row r="22" spans="1:10" s="1" customFormat="1" ht="12.75">
      <c r="A22" s="3" t="s">
        <v>7</v>
      </c>
      <c r="B22" s="4"/>
      <c r="C22" s="5"/>
      <c r="D22" s="4"/>
      <c r="E22" s="5"/>
      <c r="F22" s="5"/>
      <c r="G22" s="4"/>
      <c r="H22" s="5"/>
      <c r="I22" s="4"/>
      <c r="J22" s="4"/>
    </row>
    <row r="23" spans="1:10" ht="12.75">
      <c r="A23" s="3"/>
      <c r="B23" s="4"/>
      <c r="C23" s="3"/>
      <c r="D23" s="4"/>
      <c r="E23" s="5"/>
      <c r="F23" s="5"/>
      <c r="G23" s="4"/>
      <c r="H23" s="5"/>
      <c r="I23" s="4"/>
      <c r="J23" s="4"/>
    </row>
    <row r="24" spans="1:10" ht="12.75">
      <c r="A24" s="3" t="s">
        <v>64</v>
      </c>
      <c r="B24" s="4"/>
      <c r="C24" s="3"/>
      <c r="D24" s="4"/>
      <c r="E24" s="5"/>
      <c r="F24" s="5"/>
      <c r="G24" s="4"/>
      <c r="H24" s="5"/>
      <c r="I24" s="4"/>
      <c r="J24" s="4"/>
    </row>
    <row r="25" spans="1:10" ht="12.75">
      <c r="A25" s="3"/>
      <c r="B25" s="4"/>
      <c r="C25" s="3"/>
      <c r="D25" s="4"/>
      <c r="E25" s="5"/>
      <c r="F25" s="5"/>
      <c r="G25" s="4"/>
      <c r="H25" s="5"/>
      <c r="I25" s="4"/>
      <c r="J25" s="4"/>
    </row>
    <row r="26" spans="1:10" ht="12.75">
      <c r="A26" s="3" t="s">
        <v>1</v>
      </c>
      <c r="B26" s="4"/>
      <c r="C26" s="3"/>
      <c r="D26" s="4"/>
      <c r="E26" s="5"/>
      <c r="F26" s="5"/>
      <c r="G26" s="4"/>
      <c r="H26" s="5"/>
      <c r="I26" s="4"/>
      <c r="J26" s="4"/>
    </row>
    <row r="27" spans="1:10" ht="13.5" thickBot="1">
      <c r="A27" s="3"/>
      <c r="B27" s="4"/>
      <c r="C27" s="3"/>
      <c r="D27" s="4"/>
      <c r="E27" s="5"/>
      <c r="F27" s="5"/>
      <c r="G27" s="4"/>
      <c r="H27" s="5"/>
      <c r="I27" s="4"/>
      <c r="J27" s="4"/>
    </row>
    <row r="28" spans="1:10" ht="12.75">
      <c r="A28" s="6"/>
      <c r="B28" s="7"/>
      <c r="C28" s="8" t="s">
        <v>8</v>
      </c>
      <c r="D28" s="9"/>
      <c r="E28" s="7"/>
      <c r="F28" s="8" t="s">
        <v>9</v>
      </c>
      <c r="G28" s="9"/>
      <c r="H28" s="7"/>
      <c r="I28" s="10" t="s">
        <v>10</v>
      </c>
      <c r="J28" s="9"/>
    </row>
    <row r="29" spans="1:10" ht="12.75">
      <c r="A29" s="11"/>
      <c r="B29" s="12" t="s">
        <v>5</v>
      </c>
      <c r="C29" s="13" t="s">
        <v>6</v>
      </c>
      <c r="D29" s="13" t="s">
        <v>4</v>
      </c>
      <c r="E29" s="12" t="s">
        <v>5</v>
      </c>
      <c r="F29" s="13" t="s">
        <v>6</v>
      </c>
      <c r="G29" s="13" t="s">
        <v>4</v>
      </c>
      <c r="H29" s="12" t="s">
        <v>5</v>
      </c>
      <c r="I29" s="13" t="s">
        <v>6</v>
      </c>
      <c r="J29" s="13" t="s">
        <v>4</v>
      </c>
    </row>
    <row r="30" spans="1:10" ht="12.75">
      <c r="A30" s="14"/>
      <c r="B30" s="15"/>
      <c r="C30" s="16"/>
      <c r="D30" s="16"/>
      <c r="E30" s="15"/>
      <c r="F30" s="16"/>
      <c r="G30" s="16"/>
      <c r="H30" s="15"/>
      <c r="I30" s="16"/>
      <c r="J30" s="16"/>
    </row>
    <row r="31" spans="1:10" ht="12.75">
      <c r="A31" s="20" t="s">
        <v>4</v>
      </c>
      <c r="B31" s="70">
        <f>486+4</f>
        <v>490</v>
      </c>
      <c r="C31" s="71">
        <f>887+14</f>
        <v>901</v>
      </c>
      <c r="D31" s="71">
        <f>SUM(B31:C31)</f>
        <v>1391</v>
      </c>
      <c r="E31" s="70">
        <f>185+0</f>
        <v>185</v>
      </c>
      <c r="F31" s="71">
        <f>402+0</f>
        <v>402</v>
      </c>
      <c r="G31" s="71">
        <f>SUM(E31:F31)</f>
        <v>587</v>
      </c>
      <c r="H31" s="70">
        <f>SUM(B31,E31)</f>
        <v>675</v>
      </c>
      <c r="I31" s="71">
        <f>SUM(C31,F31)</f>
        <v>1303</v>
      </c>
      <c r="J31" s="71">
        <f>SUM(H31:I31)</f>
        <v>1978</v>
      </c>
    </row>
  </sheetData>
  <sheetProtection/>
  <printOptions horizontalCentered="1"/>
  <pageMargins left="0.3937007874015748" right="0.3937007874015748" top="0.7874015748031497" bottom="0" header="0.5118110236220472" footer="0.5118110236220472"/>
  <pageSetup fitToHeight="1" fitToWidth="1" orientation="portrait"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P33"/>
  <sheetViews>
    <sheetView zoomScalePageLayoutView="0" workbookViewId="0" topLeftCell="A1">
      <selection activeCell="Y40" sqref="Y40"/>
    </sheetView>
  </sheetViews>
  <sheetFormatPr defaultColWidth="9.140625" defaultRowHeight="12.75"/>
  <cols>
    <col min="1" max="1" width="28.57421875" style="2" customWidth="1"/>
    <col min="2" max="10" width="9.00390625" style="2" customWidth="1"/>
    <col min="11" max="16" width="7.7109375" style="2" customWidth="1"/>
    <col min="17" max="16384" width="9.140625" style="2" customWidth="1"/>
  </cols>
  <sheetData>
    <row r="1" ht="12.75">
      <c r="A1" s="84" t="s">
        <v>62</v>
      </c>
    </row>
    <row r="2" spans="1:16" ht="12.75">
      <c r="A2" s="3" t="s">
        <v>0</v>
      </c>
      <c r="B2" s="4"/>
      <c r="C2" s="5"/>
      <c r="D2" s="5"/>
      <c r="E2" s="4"/>
      <c r="F2" s="4"/>
      <c r="G2" s="4"/>
      <c r="H2" s="5"/>
      <c r="I2" s="4"/>
      <c r="J2" s="4"/>
      <c r="K2" s="21" t="s">
        <v>11</v>
      </c>
      <c r="L2" s="4"/>
      <c r="M2" s="4"/>
      <c r="N2" s="4"/>
      <c r="O2" s="4"/>
      <c r="P2" s="4"/>
    </row>
    <row r="3" spans="1:16" ht="12.75">
      <c r="A3" s="3"/>
      <c r="B3" s="4"/>
      <c r="C3" s="3"/>
      <c r="D3" s="5"/>
      <c r="E3" s="4"/>
      <c r="F3" s="4"/>
      <c r="G3" s="4"/>
      <c r="H3" s="5"/>
      <c r="I3" s="4"/>
      <c r="J3" s="4"/>
      <c r="K3" s="21"/>
      <c r="L3" s="4"/>
      <c r="M3" s="4"/>
      <c r="N3" s="4"/>
      <c r="O3" s="4"/>
      <c r="P3" s="4"/>
    </row>
    <row r="4" spans="1:16" ht="12.75">
      <c r="A4" s="3" t="s">
        <v>65</v>
      </c>
      <c r="B4" s="4"/>
      <c r="C4" s="3"/>
      <c r="D4" s="5"/>
      <c r="E4" s="5"/>
      <c r="F4" s="4"/>
      <c r="G4" s="4"/>
      <c r="H4" s="5"/>
      <c r="I4" s="4"/>
      <c r="J4" s="4"/>
      <c r="K4" s="21" t="s">
        <v>11</v>
      </c>
      <c r="L4" s="4"/>
      <c r="M4" s="4"/>
      <c r="N4" s="4"/>
      <c r="O4" s="4"/>
      <c r="P4" s="4"/>
    </row>
    <row r="5" spans="1:16" ht="12.75">
      <c r="A5" s="3"/>
      <c r="B5" s="4"/>
      <c r="C5" s="3"/>
      <c r="D5" s="5"/>
      <c r="E5" s="5"/>
      <c r="F5" s="4"/>
      <c r="G5" s="4"/>
      <c r="H5" s="5"/>
      <c r="I5" s="4"/>
      <c r="J5" s="4"/>
      <c r="K5" s="21"/>
      <c r="L5" s="4"/>
      <c r="M5" s="4"/>
      <c r="N5" s="4"/>
      <c r="O5" s="4"/>
      <c r="P5" s="4"/>
    </row>
    <row r="6" spans="1:16" ht="12.75">
      <c r="A6" s="3" t="s">
        <v>1</v>
      </c>
      <c r="B6" s="4"/>
      <c r="C6" s="3"/>
      <c r="D6" s="4"/>
      <c r="E6" s="5"/>
      <c r="F6" s="4"/>
      <c r="G6" s="4"/>
      <c r="H6" s="4"/>
      <c r="I6" s="4"/>
      <c r="J6" s="4"/>
      <c r="K6" s="21" t="s">
        <v>11</v>
      </c>
      <c r="L6" s="4"/>
      <c r="M6" s="4"/>
      <c r="N6" s="4"/>
      <c r="O6" s="4"/>
      <c r="P6" s="4"/>
    </row>
    <row r="7" ht="13.5" thickBot="1"/>
    <row r="8" spans="1:10" s="24" customFormat="1" ht="12.75">
      <c r="A8" s="22"/>
      <c r="B8" s="23"/>
      <c r="C8" s="22" t="s">
        <v>2</v>
      </c>
      <c r="D8" s="22"/>
      <c r="E8" s="23"/>
      <c r="F8" s="22" t="s">
        <v>3</v>
      </c>
      <c r="G8" s="22"/>
      <c r="H8" s="23"/>
      <c r="I8" s="22" t="s">
        <v>4</v>
      </c>
      <c r="J8" s="22"/>
    </row>
    <row r="9" spans="1:10" ht="12.75">
      <c r="A9" s="11"/>
      <c r="B9" s="74" t="s">
        <v>5</v>
      </c>
      <c r="C9" s="75" t="s">
        <v>6</v>
      </c>
      <c r="D9" s="75" t="s">
        <v>4</v>
      </c>
      <c r="E9" s="74" t="s">
        <v>5</v>
      </c>
      <c r="F9" s="75" t="s">
        <v>6</v>
      </c>
      <c r="G9" s="75" t="s">
        <v>4</v>
      </c>
      <c r="H9" s="74" t="s">
        <v>5</v>
      </c>
      <c r="I9" s="75" t="s">
        <v>6</v>
      </c>
      <c r="J9" s="75" t="s">
        <v>4</v>
      </c>
    </row>
    <row r="10" spans="1:10" ht="12.75">
      <c r="A10" s="14"/>
      <c r="B10" s="15"/>
      <c r="C10" s="16"/>
      <c r="D10" s="16"/>
      <c r="E10" s="15"/>
      <c r="F10" s="16"/>
      <c r="G10" s="16"/>
      <c r="H10" s="15"/>
      <c r="I10" s="16"/>
      <c r="J10" s="16"/>
    </row>
    <row r="11" spans="1:10" s="1" customFormat="1" ht="12.75">
      <c r="A11" s="20" t="s">
        <v>4</v>
      </c>
      <c r="B11" s="70">
        <f>1900+41</f>
        <v>1941</v>
      </c>
      <c r="C11" s="71">
        <f>2577+56</f>
        <v>2633</v>
      </c>
      <c r="D11" s="71">
        <f>SUM(B11:C11)</f>
        <v>4574</v>
      </c>
      <c r="E11" s="70">
        <f>1719+0</f>
        <v>1719</v>
      </c>
      <c r="F11" s="71">
        <f>2034+1</f>
        <v>2035</v>
      </c>
      <c r="G11" s="71">
        <f>SUM(E11:F11)</f>
        <v>3754</v>
      </c>
      <c r="H11" s="70">
        <f>SUM(B11,E11)</f>
        <v>3660</v>
      </c>
      <c r="I11" s="71">
        <f>SUM(C11,F11)</f>
        <v>4668</v>
      </c>
      <c r="J11" s="71">
        <f>SUM(H11:I11)</f>
        <v>8328</v>
      </c>
    </row>
    <row r="12" spans="1:10" s="1" customFormat="1" ht="12.75">
      <c r="A12" s="18"/>
      <c r="B12" s="20"/>
      <c r="C12" s="20"/>
      <c r="D12" s="20"/>
      <c r="E12" s="20"/>
      <c r="F12" s="20"/>
      <c r="G12" s="20"/>
      <c r="H12" s="20"/>
      <c r="I12" s="20"/>
      <c r="J12" s="20"/>
    </row>
    <row r="13" spans="1:10" s="1" customFormat="1" ht="12.75">
      <c r="A13" s="18"/>
      <c r="B13" s="20"/>
      <c r="C13" s="20"/>
      <c r="D13" s="20"/>
      <c r="E13" s="20"/>
      <c r="F13" s="20"/>
      <c r="G13" s="20"/>
      <c r="H13" s="20"/>
      <c r="I13" s="20"/>
      <c r="J13" s="20"/>
    </row>
    <row r="14" spans="1:10" s="1" customFormat="1" ht="12.75">
      <c r="A14" s="18"/>
      <c r="B14" s="20"/>
      <c r="C14" s="20"/>
      <c r="D14" s="20"/>
      <c r="E14" s="20"/>
      <c r="F14" s="20"/>
      <c r="G14" s="20"/>
      <c r="H14" s="20"/>
      <c r="I14" s="20"/>
      <c r="J14" s="20"/>
    </row>
    <row r="15" spans="1:10" s="1" customFormat="1" ht="12.75">
      <c r="A15" s="28" t="s">
        <v>12</v>
      </c>
      <c r="B15" s="29"/>
      <c r="C15" s="29"/>
      <c r="D15" s="29"/>
      <c r="E15" s="30"/>
      <c r="F15" s="30"/>
      <c r="G15" s="29"/>
      <c r="H15" s="29"/>
      <c r="I15" s="29"/>
      <c r="J15" s="29"/>
    </row>
    <row r="16" spans="1:10" ht="12.75">
      <c r="A16" s="29"/>
      <c r="B16" s="29"/>
      <c r="C16" s="29"/>
      <c r="D16" s="29"/>
      <c r="E16" s="30"/>
      <c r="F16" s="28"/>
      <c r="G16" s="29"/>
      <c r="H16" s="29"/>
      <c r="I16" s="29"/>
      <c r="J16" s="29"/>
    </row>
    <row r="17" spans="1:10" ht="12.75">
      <c r="A17" s="28" t="s">
        <v>65</v>
      </c>
      <c r="B17" s="29"/>
      <c r="C17" s="29"/>
      <c r="D17" s="29"/>
      <c r="E17" s="30"/>
      <c r="F17" s="30"/>
      <c r="G17" s="29"/>
      <c r="H17" s="29"/>
      <c r="I17" s="29"/>
      <c r="J17" s="29"/>
    </row>
    <row r="18" spans="1:10" ht="12.75">
      <c r="A18" s="31"/>
      <c r="B18" s="32"/>
      <c r="C18" s="32"/>
      <c r="D18" s="32"/>
      <c r="E18" s="32"/>
      <c r="F18" s="32"/>
      <c r="G18" s="32"/>
      <c r="H18" s="32"/>
      <c r="I18" s="32"/>
      <c r="J18" s="32"/>
    </row>
    <row r="19" spans="1:10" ht="12.75">
      <c r="A19" s="28" t="s">
        <v>1</v>
      </c>
      <c r="B19" s="33"/>
      <c r="C19" s="33"/>
      <c r="D19" s="33"/>
      <c r="E19" s="33"/>
      <c r="F19" s="34"/>
      <c r="G19" s="33"/>
      <c r="H19" s="33"/>
      <c r="I19" s="33"/>
      <c r="J19" s="33"/>
    </row>
    <row r="20" spans="1:10" ht="13.5" thickBot="1">
      <c r="A20" s="27"/>
      <c r="B20" s="32"/>
      <c r="C20" s="32"/>
      <c r="D20" s="32"/>
      <c r="E20" s="32"/>
      <c r="F20" s="32"/>
      <c r="G20" s="32"/>
      <c r="H20" s="32"/>
      <c r="I20" s="32"/>
      <c r="J20" s="32"/>
    </row>
    <row r="21" spans="1:10" ht="12.75">
      <c r="A21" s="35"/>
      <c r="B21" s="36" t="s">
        <v>2</v>
      </c>
      <c r="C21" s="37"/>
      <c r="D21" s="37"/>
      <c r="E21" s="36" t="s">
        <v>3</v>
      </c>
      <c r="F21" s="37"/>
      <c r="G21" s="37"/>
      <c r="H21" s="36" t="s">
        <v>4</v>
      </c>
      <c r="I21" s="37"/>
      <c r="J21" s="37"/>
    </row>
    <row r="22" spans="1:10" ht="12.75">
      <c r="A22" s="76" t="s">
        <v>13</v>
      </c>
      <c r="B22" s="38" t="s">
        <v>5</v>
      </c>
      <c r="C22" s="39" t="s">
        <v>6</v>
      </c>
      <c r="D22" s="39" t="s">
        <v>4</v>
      </c>
      <c r="E22" s="38" t="s">
        <v>5</v>
      </c>
      <c r="F22" s="39" t="s">
        <v>6</v>
      </c>
      <c r="G22" s="39" t="s">
        <v>4</v>
      </c>
      <c r="H22" s="38" t="s">
        <v>5</v>
      </c>
      <c r="I22" s="39" t="s">
        <v>6</v>
      </c>
      <c r="J22" s="39" t="s">
        <v>4</v>
      </c>
    </row>
    <row r="23" spans="1:10" ht="12.75">
      <c r="A23" s="40"/>
      <c r="B23" s="41"/>
      <c r="C23" s="42"/>
      <c r="D23" s="42"/>
      <c r="E23" s="41"/>
      <c r="F23" s="42"/>
      <c r="G23" s="42"/>
      <c r="H23" s="41"/>
      <c r="I23" s="42"/>
      <c r="J23" s="42"/>
    </row>
    <row r="24" spans="1:10" ht="12.75">
      <c r="A24" s="27" t="s">
        <v>14</v>
      </c>
      <c r="B24" s="78">
        <f>0</f>
        <v>0</v>
      </c>
      <c r="C24" s="79">
        <f>0</f>
        <v>0</v>
      </c>
      <c r="D24" s="32">
        <f>SUM(B24:C24)</f>
        <v>0</v>
      </c>
      <c r="E24" s="43">
        <v>4</v>
      </c>
      <c r="F24" s="32">
        <v>12</v>
      </c>
      <c r="G24" s="32">
        <f aca="true" t="shared" si="0" ref="G24:G32">SUM(E24:F24)</f>
        <v>16</v>
      </c>
      <c r="H24" s="43">
        <f>B24+E24</f>
        <v>4</v>
      </c>
      <c r="I24" s="32">
        <f>C24+F24</f>
        <v>12</v>
      </c>
      <c r="J24" s="32">
        <f aca="true" t="shared" si="1" ref="J24:J32">SUM(H24:I24)</f>
        <v>16</v>
      </c>
    </row>
    <row r="25" spans="1:10" ht="12.75">
      <c r="A25" s="27" t="s">
        <v>15</v>
      </c>
      <c r="B25" s="78">
        <v>3</v>
      </c>
      <c r="C25" s="79">
        <v>7</v>
      </c>
      <c r="D25" s="32">
        <f aca="true" t="shared" si="2" ref="D25:D32">SUM(B25:C25)</f>
        <v>10</v>
      </c>
      <c r="E25" s="43">
        <v>141</v>
      </c>
      <c r="F25" s="32">
        <v>274</v>
      </c>
      <c r="G25" s="32">
        <f t="shared" si="0"/>
        <v>415</v>
      </c>
      <c r="H25" s="43">
        <f aca="true" t="shared" si="3" ref="H25:I32">B25+E25</f>
        <v>144</v>
      </c>
      <c r="I25" s="32">
        <f t="shared" si="3"/>
        <v>281</v>
      </c>
      <c r="J25" s="32">
        <f t="shared" si="1"/>
        <v>425</v>
      </c>
    </row>
    <row r="26" spans="1:10" ht="12.75">
      <c r="A26" s="27" t="s">
        <v>16</v>
      </c>
      <c r="B26" s="78">
        <v>48</v>
      </c>
      <c r="C26" s="79">
        <v>90</v>
      </c>
      <c r="D26" s="32">
        <f t="shared" si="2"/>
        <v>138</v>
      </c>
      <c r="E26" s="43">
        <v>277</v>
      </c>
      <c r="F26" s="32">
        <f>480+1</f>
        <v>481</v>
      </c>
      <c r="G26" s="32">
        <f t="shared" si="0"/>
        <v>758</v>
      </c>
      <c r="H26" s="43">
        <f t="shared" si="3"/>
        <v>325</v>
      </c>
      <c r="I26" s="32">
        <f t="shared" si="3"/>
        <v>571</v>
      </c>
      <c r="J26" s="32">
        <f t="shared" si="1"/>
        <v>896</v>
      </c>
    </row>
    <row r="27" spans="1:10" ht="12.75">
      <c r="A27" s="27" t="s">
        <v>17</v>
      </c>
      <c r="B27" s="78">
        <v>174</v>
      </c>
      <c r="C27" s="79">
        <v>324</v>
      </c>
      <c r="D27" s="32">
        <f t="shared" si="2"/>
        <v>498</v>
      </c>
      <c r="E27" s="43">
        <v>337</v>
      </c>
      <c r="F27" s="32">
        <v>500</v>
      </c>
      <c r="G27" s="32">
        <f t="shared" si="0"/>
        <v>837</v>
      </c>
      <c r="H27" s="43">
        <f t="shared" si="3"/>
        <v>511</v>
      </c>
      <c r="I27" s="32">
        <f t="shared" si="3"/>
        <v>824</v>
      </c>
      <c r="J27" s="32">
        <f t="shared" si="1"/>
        <v>1335</v>
      </c>
    </row>
    <row r="28" spans="1:10" ht="12.75">
      <c r="A28" s="27" t="s">
        <v>18</v>
      </c>
      <c r="B28" s="78">
        <f>230+1</f>
        <v>231</v>
      </c>
      <c r="C28" s="79">
        <v>485</v>
      </c>
      <c r="D28" s="32">
        <f t="shared" si="2"/>
        <v>716</v>
      </c>
      <c r="E28" s="43">
        <v>270</v>
      </c>
      <c r="F28" s="32">
        <v>328</v>
      </c>
      <c r="G28" s="32">
        <f t="shared" si="0"/>
        <v>598</v>
      </c>
      <c r="H28" s="43">
        <f t="shared" si="3"/>
        <v>501</v>
      </c>
      <c r="I28" s="32">
        <f t="shared" si="3"/>
        <v>813</v>
      </c>
      <c r="J28" s="32">
        <f t="shared" si="1"/>
        <v>1314</v>
      </c>
    </row>
    <row r="29" spans="1:10" ht="12.75">
      <c r="A29" s="27" t="s">
        <v>19</v>
      </c>
      <c r="B29" s="78">
        <f>295+2</f>
        <v>297</v>
      </c>
      <c r="C29" s="79">
        <v>448</v>
      </c>
      <c r="D29" s="32">
        <f t="shared" si="2"/>
        <v>745</v>
      </c>
      <c r="E29" s="43">
        <v>224</v>
      </c>
      <c r="F29" s="32">
        <v>219</v>
      </c>
      <c r="G29" s="32">
        <f t="shared" si="0"/>
        <v>443</v>
      </c>
      <c r="H29" s="43">
        <f t="shared" si="3"/>
        <v>521</v>
      </c>
      <c r="I29" s="32">
        <f t="shared" si="3"/>
        <v>667</v>
      </c>
      <c r="J29" s="32">
        <f t="shared" si="1"/>
        <v>1188</v>
      </c>
    </row>
    <row r="30" spans="1:10" ht="12.75">
      <c r="A30" s="27" t="s">
        <v>20</v>
      </c>
      <c r="B30" s="78">
        <v>367</v>
      </c>
      <c r="C30" s="79">
        <f>512+1</f>
        <v>513</v>
      </c>
      <c r="D30" s="32">
        <f t="shared" si="2"/>
        <v>880</v>
      </c>
      <c r="E30" s="43">
        <v>208</v>
      </c>
      <c r="F30" s="32">
        <v>137</v>
      </c>
      <c r="G30" s="32">
        <f t="shared" si="0"/>
        <v>345</v>
      </c>
      <c r="H30" s="43">
        <f t="shared" si="3"/>
        <v>575</v>
      </c>
      <c r="I30" s="32">
        <f t="shared" si="3"/>
        <v>650</v>
      </c>
      <c r="J30" s="32">
        <f t="shared" si="1"/>
        <v>1225</v>
      </c>
    </row>
    <row r="31" spans="1:10" ht="12.75">
      <c r="A31" s="27" t="s">
        <v>21</v>
      </c>
      <c r="B31" s="78">
        <f>521+6</f>
        <v>527</v>
      </c>
      <c r="C31" s="79">
        <f>551+7</f>
        <v>558</v>
      </c>
      <c r="D31" s="32">
        <f t="shared" si="2"/>
        <v>1085</v>
      </c>
      <c r="E31" s="43">
        <v>162</v>
      </c>
      <c r="F31" s="32">
        <v>70</v>
      </c>
      <c r="G31" s="32">
        <f t="shared" si="0"/>
        <v>232</v>
      </c>
      <c r="H31" s="43">
        <f t="shared" si="3"/>
        <v>689</v>
      </c>
      <c r="I31" s="32">
        <f t="shared" si="3"/>
        <v>628</v>
      </c>
      <c r="J31" s="32">
        <f t="shared" si="1"/>
        <v>1317</v>
      </c>
    </row>
    <row r="32" spans="1:10" ht="12.75">
      <c r="A32" s="27" t="s">
        <v>22</v>
      </c>
      <c r="B32" s="80">
        <f>245+17+32</f>
        <v>294</v>
      </c>
      <c r="C32" s="79">
        <f>154+6+46+2</f>
        <v>208</v>
      </c>
      <c r="D32" s="32">
        <f t="shared" si="2"/>
        <v>502</v>
      </c>
      <c r="E32" s="43">
        <f>69+27</f>
        <v>96</v>
      </c>
      <c r="F32" s="32">
        <v>14</v>
      </c>
      <c r="G32" s="44">
        <f t="shared" si="0"/>
        <v>110</v>
      </c>
      <c r="H32" s="43">
        <f t="shared" si="3"/>
        <v>390</v>
      </c>
      <c r="I32" s="32">
        <f t="shared" si="3"/>
        <v>222</v>
      </c>
      <c r="J32" s="44">
        <f t="shared" si="1"/>
        <v>612</v>
      </c>
    </row>
    <row r="33" spans="1:10" ht="12.75">
      <c r="A33" s="45" t="s">
        <v>4</v>
      </c>
      <c r="B33" s="46">
        <f aca="true" t="shared" si="4" ref="B33:J33">SUM(B24:B32)</f>
        <v>1941</v>
      </c>
      <c r="C33" s="47">
        <f t="shared" si="4"/>
        <v>2633</v>
      </c>
      <c r="D33" s="47">
        <f t="shared" si="4"/>
        <v>4574</v>
      </c>
      <c r="E33" s="46">
        <f>SUM(E24:E32)</f>
        <v>1719</v>
      </c>
      <c r="F33" s="47">
        <f t="shared" si="4"/>
        <v>2035</v>
      </c>
      <c r="G33" s="47">
        <f t="shared" si="4"/>
        <v>3754</v>
      </c>
      <c r="H33" s="46">
        <f t="shared" si="4"/>
        <v>3660</v>
      </c>
      <c r="I33" s="47">
        <f t="shared" si="4"/>
        <v>4668</v>
      </c>
      <c r="J33" s="47">
        <f t="shared" si="4"/>
        <v>8328</v>
      </c>
    </row>
    <row r="45" s="1" customFormat="1" ht="12.75"/>
    <row r="53" s="1" customFormat="1" ht="12.75"/>
    <row r="60" s="1" customFormat="1" ht="12.75"/>
  </sheetData>
  <sheetProtection/>
  <printOptions horizontalCentered="1"/>
  <pageMargins left="0.1968503937007874" right="0.1968503937007874" top="0.7874015748031497" bottom="0.3937007874015748" header="0.5118110236220472" footer="0.5118110236220472"/>
  <pageSetup horizontalDpi="1200" verticalDpi="1200" orientation="portrait" paperSize="9" scale="9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X64" sqref="X64"/>
    </sheetView>
  </sheetViews>
  <sheetFormatPr defaultColWidth="9.140625" defaultRowHeight="12.75"/>
  <cols>
    <col min="1" max="1" width="28.8515625" style="49" customWidth="1"/>
    <col min="2" max="16384" width="9.140625" style="49" customWidth="1"/>
  </cols>
  <sheetData>
    <row r="1" ht="12.75">
      <c r="A1" s="84" t="s">
        <v>62</v>
      </c>
    </row>
    <row r="2" spans="1:10" s="2" customFormat="1" ht="12.75">
      <c r="A2" s="3" t="s">
        <v>7</v>
      </c>
      <c r="B2" s="4"/>
      <c r="C2" s="5"/>
      <c r="D2" s="5"/>
      <c r="E2" s="4"/>
      <c r="F2" s="4"/>
      <c r="G2" s="4"/>
      <c r="H2" s="5"/>
      <c r="I2" s="4"/>
      <c r="J2" s="4"/>
    </row>
    <row r="3" spans="1:10" s="2" customFormat="1" ht="12.75">
      <c r="A3" s="3"/>
      <c r="B3" s="4"/>
      <c r="C3" s="3"/>
      <c r="D3" s="5"/>
      <c r="E3" s="4"/>
      <c r="F3" s="4"/>
      <c r="G3" s="4"/>
      <c r="H3" s="5"/>
      <c r="I3" s="4"/>
      <c r="J3" s="4"/>
    </row>
    <row r="4" spans="1:10" s="2" customFormat="1" ht="12.75">
      <c r="A4" s="3" t="s">
        <v>66</v>
      </c>
      <c r="B4" s="4"/>
      <c r="C4" s="3"/>
      <c r="D4" s="5"/>
      <c r="E4" s="5"/>
      <c r="F4" s="4"/>
      <c r="G4" s="4"/>
      <c r="H4" s="5"/>
      <c r="I4" s="4"/>
      <c r="J4" s="4"/>
    </row>
    <row r="5" spans="1:10" s="2" customFormat="1" ht="12.75">
      <c r="A5" s="3"/>
      <c r="B5" s="4"/>
      <c r="C5" s="3"/>
      <c r="D5" s="5"/>
      <c r="E5" s="5"/>
      <c r="F5" s="4"/>
      <c r="G5" s="4"/>
      <c r="H5" s="5"/>
      <c r="I5" s="4"/>
      <c r="J5" s="4"/>
    </row>
    <row r="6" spans="1:10" s="2" customFormat="1" ht="12.75">
      <c r="A6" s="3" t="s">
        <v>1</v>
      </c>
      <c r="B6" s="4"/>
      <c r="C6" s="3"/>
      <c r="D6" s="4"/>
      <c r="E6" s="5"/>
      <c r="F6" s="4"/>
      <c r="G6" s="4"/>
      <c r="H6" s="4"/>
      <c r="I6" s="4"/>
      <c r="J6" s="4"/>
    </row>
    <row r="7" s="2" customFormat="1" ht="13.5" thickBot="1"/>
    <row r="8" spans="1:10" s="2" customFormat="1" ht="12.75">
      <c r="A8" s="22"/>
      <c r="B8" s="23"/>
      <c r="C8" s="22" t="s">
        <v>2</v>
      </c>
      <c r="D8" s="22"/>
      <c r="E8" s="23"/>
      <c r="F8" s="22" t="s">
        <v>3</v>
      </c>
      <c r="G8" s="22"/>
      <c r="H8" s="23"/>
      <c r="I8" s="22" t="s">
        <v>4</v>
      </c>
      <c r="J8" s="22"/>
    </row>
    <row r="9" spans="1:10" s="2" customFormat="1" ht="12.75">
      <c r="A9" s="11"/>
      <c r="B9" s="25" t="s">
        <v>5</v>
      </c>
      <c r="C9" s="26" t="s">
        <v>6</v>
      </c>
      <c r="D9" s="26" t="s">
        <v>4</v>
      </c>
      <c r="E9" s="25" t="s">
        <v>5</v>
      </c>
      <c r="F9" s="26" t="s">
        <v>6</v>
      </c>
      <c r="G9" s="26" t="s">
        <v>4</v>
      </c>
      <c r="H9" s="25" t="s">
        <v>5</v>
      </c>
      <c r="I9" s="26" t="s">
        <v>6</v>
      </c>
      <c r="J9" s="26" t="s">
        <v>4</v>
      </c>
    </row>
    <row r="10" spans="1:10" s="2" customFormat="1" ht="12.75">
      <c r="A10" s="14"/>
      <c r="B10" s="15"/>
      <c r="C10" s="16"/>
      <c r="D10" s="16"/>
      <c r="E10" s="15"/>
      <c r="F10" s="16"/>
      <c r="G10" s="16"/>
      <c r="H10" s="15"/>
      <c r="I10" s="16"/>
      <c r="J10" s="16"/>
    </row>
    <row r="11" spans="1:10" s="1" customFormat="1" ht="12.75">
      <c r="A11" s="20" t="s">
        <v>4</v>
      </c>
      <c r="B11" s="70">
        <f>518+7</f>
        <v>525</v>
      </c>
      <c r="C11" s="71">
        <f>1055+23</f>
        <v>1078</v>
      </c>
      <c r="D11" s="71">
        <f>SUM(B11:C11)</f>
        <v>1603</v>
      </c>
      <c r="E11" s="70">
        <f>204+0</f>
        <v>204</v>
      </c>
      <c r="F11" s="71">
        <f>472+0</f>
        <v>472</v>
      </c>
      <c r="G11" s="71">
        <f>SUM(E11:F11)</f>
        <v>676</v>
      </c>
      <c r="H11" s="70">
        <f>SUM(B11,E11)</f>
        <v>729</v>
      </c>
      <c r="I11" s="71">
        <f>SUM(C11,F11)</f>
        <v>1550</v>
      </c>
      <c r="J11" s="71">
        <f>SUM(H11:I11)</f>
        <v>2279</v>
      </c>
    </row>
    <row r="15" spans="1:10" ht="12.75">
      <c r="A15" s="50" t="s">
        <v>23</v>
      </c>
      <c r="B15" s="51"/>
      <c r="C15" s="51"/>
      <c r="D15" s="51"/>
      <c r="E15" s="52"/>
      <c r="F15" s="52"/>
      <c r="G15" s="51"/>
      <c r="H15" s="51"/>
      <c r="I15" s="51"/>
      <c r="J15" s="51"/>
    </row>
    <row r="16" spans="1:10" ht="12.75">
      <c r="A16" s="51"/>
      <c r="B16" s="51"/>
      <c r="C16" s="51"/>
      <c r="D16" s="51"/>
      <c r="E16" s="52"/>
      <c r="F16" s="50"/>
      <c r="G16" s="51"/>
      <c r="H16" s="51"/>
      <c r="I16" s="51"/>
      <c r="J16" s="51"/>
    </row>
    <row r="17" spans="1:10" ht="12.75">
      <c r="A17" s="50" t="s">
        <v>66</v>
      </c>
      <c r="B17" s="51"/>
      <c r="C17" s="51"/>
      <c r="D17" s="51"/>
      <c r="E17" s="52"/>
      <c r="F17" s="52"/>
      <c r="G17" s="51"/>
      <c r="H17" s="51"/>
      <c r="I17" s="51"/>
      <c r="J17" s="51"/>
    </row>
    <row r="18" spans="1:10" ht="12.75">
      <c r="A18" s="53"/>
      <c r="B18" s="54"/>
      <c r="C18" s="54"/>
      <c r="D18" s="54"/>
      <c r="E18" s="54"/>
      <c r="F18" s="54"/>
      <c r="G18" s="54"/>
      <c r="H18" s="54"/>
      <c r="I18" s="54"/>
      <c r="J18" s="54"/>
    </row>
    <row r="19" spans="1:10" ht="12.75">
      <c r="A19" s="50" t="s">
        <v>1</v>
      </c>
      <c r="B19" s="55"/>
      <c r="C19" s="55"/>
      <c r="D19" s="55"/>
      <c r="E19" s="55"/>
      <c r="F19" s="56"/>
      <c r="G19" s="55"/>
      <c r="H19" s="55"/>
      <c r="I19" s="55"/>
      <c r="J19" s="55"/>
    </row>
    <row r="20" spans="1:10" ht="13.5" thickBot="1">
      <c r="A20" s="48"/>
      <c r="B20" s="54"/>
      <c r="C20" s="54"/>
      <c r="D20" s="54"/>
      <c r="E20" s="54"/>
      <c r="F20" s="54"/>
      <c r="G20" s="54"/>
      <c r="H20" s="54"/>
      <c r="I20" s="54"/>
      <c r="J20" s="54"/>
    </row>
    <row r="21" spans="1:10" ht="12.75">
      <c r="A21" s="57"/>
      <c r="B21" s="58" t="s">
        <v>2</v>
      </c>
      <c r="C21" s="59"/>
      <c r="D21" s="59"/>
      <c r="E21" s="58" t="s">
        <v>3</v>
      </c>
      <c r="F21" s="59"/>
      <c r="G21" s="59"/>
      <c r="H21" s="58" t="s">
        <v>4</v>
      </c>
      <c r="I21" s="59"/>
      <c r="J21" s="59"/>
    </row>
    <row r="22" spans="1:10" ht="12.75">
      <c r="A22" s="77" t="s">
        <v>13</v>
      </c>
      <c r="B22" s="60" t="s">
        <v>5</v>
      </c>
      <c r="C22" s="61" t="s">
        <v>6</v>
      </c>
      <c r="D22" s="61" t="s">
        <v>4</v>
      </c>
      <c r="E22" s="60" t="s">
        <v>5</v>
      </c>
      <c r="F22" s="61" t="s">
        <v>6</v>
      </c>
      <c r="G22" s="61" t="s">
        <v>4</v>
      </c>
      <c r="H22" s="60" t="s">
        <v>5</v>
      </c>
      <c r="I22" s="61" t="s">
        <v>6</v>
      </c>
      <c r="J22" s="61" t="s">
        <v>4</v>
      </c>
    </row>
    <row r="23" spans="1:10" ht="12.75">
      <c r="A23" s="62"/>
      <c r="B23" s="63"/>
      <c r="C23" s="64"/>
      <c r="D23" s="64"/>
      <c r="E23" s="63"/>
      <c r="F23" s="64"/>
      <c r="G23" s="64"/>
      <c r="H23" s="63"/>
      <c r="I23" s="64"/>
      <c r="J23" s="64"/>
    </row>
    <row r="24" spans="1:10" ht="12.75">
      <c r="A24" s="48" t="s">
        <v>14</v>
      </c>
      <c r="B24" s="43">
        <f>0</f>
        <v>0</v>
      </c>
      <c r="C24" s="32">
        <f>0</f>
        <v>0</v>
      </c>
      <c r="D24" s="54">
        <f>SUM(B24:C24)</f>
        <v>0</v>
      </c>
      <c r="E24" s="65">
        <v>3</v>
      </c>
      <c r="F24" s="54">
        <v>9</v>
      </c>
      <c r="G24" s="54">
        <f aca="true" t="shared" si="0" ref="G24:G32">SUM(E24:F24)</f>
        <v>12</v>
      </c>
      <c r="H24" s="65">
        <f>SUM('15PHOG03'!B24,E24)</f>
        <v>3</v>
      </c>
      <c r="I24" s="54">
        <f>SUM('15PHOG03'!C24,F24)</f>
        <v>9</v>
      </c>
      <c r="J24" s="54">
        <f aca="true" t="shared" si="1" ref="J24:J32">SUM(H24:I24)</f>
        <v>12</v>
      </c>
    </row>
    <row r="25" spans="1:10" ht="12.75">
      <c r="A25" s="48" t="s">
        <v>15</v>
      </c>
      <c r="B25" s="43">
        <v>2</v>
      </c>
      <c r="C25" s="32">
        <v>7</v>
      </c>
      <c r="D25" s="54">
        <f aca="true" t="shared" si="2" ref="D25:D32">SUM(B25:C25)</f>
        <v>9</v>
      </c>
      <c r="E25" s="65">
        <v>39</v>
      </c>
      <c r="F25" s="54">
        <v>83</v>
      </c>
      <c r="G25" s="54">
        <f t="shared" si="0"/>
        <v>122</v>
      </c>
      <c r="H25" s="65">
        <f>SUM('15PHOG03'!B25,E25)</f>
        <v>41</v>
      </c>
      <c r="I25" s="54">
        <f>SUM('15PHOG03'!C25,F25)</f>
        <v>90</v>
      </c>
      <c r="J25" s="54">
        <f t="shared" si="1"/>
        <v>131</v>
      </c>
    </row>
    <row r="26" spans="1:10" ht="12.75">
      <c r="A26" s="48" t="s">
        <v>16</v>
      </c>
      <c r="B26" s="43">
        <v>36</v>
      </c>
      <c r="C26" s="32">
        <v>66</v>
      </c>
      <c r="D26" s="54">
        <f t="shared" si="2"/>
        <v>102</v>
      </c>
      <c r="E26" s="65">
        <v>53</v>
      </c>
      <c r="F26" s="54">
        <v>124</v>
      </c>
      <c r="G26" s="54">
        <f t="shared" si="0"/>
        <v>177</v>
      </c>
      <c r="H26" s="65">
        <f>SUM('15PHOG03'!B26,E26)</f>
        <v>89</v>
      </c>
      <c r="I26" s="54">
        <f>SUM('15PHOG03'!C26,F26)</f>
        <v>190</v>
      </c>
      <c r="J26" s="54">
        <f t="shared" si="1"/>
        <v>279</v>
      </c>
    </row>
    <row r="27" spans="1:10" ht="12.75">
      <c r="A27" s="48" t="s">
        <v>17</v>
      </c>
      <c r="B27" s="41">
        <v>94</v>
      </c>
      <c r="C27" s="32">
        <v>158</v>
      </c>
      <c r="D27" s="54">
        <f t="shared" si="2"/>
        <v>252</v>
      </c>
      <c r="E27" s="65">
        <v>47</v>
      </c>
      <c r="F27" s="54">
        <v>112</v>
      </c>
      <c r="G27" s="54">
        <f t="shared" si="0"/>
        <v>159</v>
      </c>
      <c r="H27" s="65">
        <f>SUM('15PHOG03'!B27,E27)</f>
        <v>141</v>
      </c>
      <c r="I27" s="54">
        <f>SUM('15PHOG03'!C27,F27)</f>
        <v>270</v>
      </c>
      <c r="J27" s="54">
        <f t="shared" si="1"/>
        <v>411</v>
      </c>
    </row>
    <row r="28" spans="1:10" ht="12.75">
      <c r="A28" s="48" t="s">
        <v>18</v>
      </c>
      <c r="B28" s="41">
        <f>82+1</f>
        <v>83</v>
      </c>
      <c r="C28" s="32">
        <v>145</v>
      </c>
      <c r="D28" s="54">
        <f t="shared" si="2"/>
        <v>228</v>
      </c>
      <c r="E28" s="65">
        <v>31</v>
      </c>
      <c r="F28" s="54">
        <v>49</v>
      </c>
      <c r="G28" s="54">
        <f t="shared" si="0"/>
        <v>80</v>
      </c>
      <c r="H28" s="65">
        <f>SUM('15PHOG03'!B28,E28)</f>
        <v>114</v>
      </c>
      <c r="I28" s="54">
        <f>SUM('15PHOG03'!C28,F28)</f>
        <v>194</v>
      </c>
      <c r="J28" s="54">
        <f t="shared" si="1"/>
        <v>308</v>
      </c>
    </row>
    <row r="29" spans="1:10" ht="12.75">
      <c r="A29" s="48" t="s">
        <v>19</v>
      </c>
      <c r="B29" s="41">
        <v>63</v>
      </c>
      <c r="C29" s="32">
        <v>194</v>
      </c>
      <c r="D29" s="54">
        <f t="shared" si="2"/>
        <v>257</v>
      </c>
      <c r="E29" s="65">
        <v>14</v>
      </c>
      <c r="F29" s="54">
        <v>41</v>
      </c>
      <c r="G29" s="54">
        <f t="shared" si="0"/>
        <v>55</v>
      </c>
      <c r="H29" s="65">
        <f>SUM('15PHOG03'!B29,E29)</f>
        <v>77</v>
      </c>
      <c r="I29" s="54">
        <f>SUM('15PHOG03'!C29,F29)</f>
        <v>235</v>
      </c>
      <c r="J29" s="54">
        <f t="shared" si="1"/>
        <v>312</v>
      </c>
    </row>
    <row r="30" spans="1:10" ht="12.75">
      <c r="A30" s="48" t="s">
        <v>20</v>
      </c>
      <c r="B30" s="41">
        <v>92</v>
      </c>
      <c r="C30" s="32">
        <f>207+1</f>
        <v>208</v>
      </c>
      <c r="D30" s="54">
        <f t="shared" si="2"/>
        <v>300</v>
      </c>
      <c r="E30" s="65">
        <v>10</v>
      </c>
      <c r="F30" s="54">
        <v>34</v>
      </c>
      <c r="G30" s="54">
        <f t="shared" si="0"/>
        <v>44</v>
      </c>
      <c r="H30" s="65">
        <f>SUM('15PHOG03'!B30,E30)</f>
        <v>102</v>
      </c>
      <c r="I30" s="54">
        <f>SUM('15PHOG03'!C30,F30)</f>
        <v>242</v>
      </c>
      <c r="J30" s="54">
        <f t="shared" si="1"/>
        <v>344</v>
      </c>
    </row>
    <row r="31" spans="1:10" ht="12.75">
      <c r="A31" s="48" t="s">
        <v>21</v>
      </c>
      <c r="B31" s="41">
        <f>107+1</f>
        <v>108</v>
      </c>
      <c r="C31" s="32">
        <f>206+5</f>
        <v>211</v>
      </c>
      <c r="D31" s="54">
        <f t="shared" si="2"/>
        <v>319</v>
      </c>
      <c r="E31" s="65">
        <v>6</v>
      </c>
      <c r="F31" s="54">
        <v>17</v>
      </c>
      <c r="G31" s="54">
        <f t="shared" si="0"/>
        <v>23</v>
      </c>
      <c r="H31" s="65">
        <f>SUM('15PHOG03'!B31,E31)</f>
        <v>114</v>
      </c>
      <c r="I31" s="54">
        <f>SUM('15PHOG03'!C31,F31)</f>
        <v>228</v>
      </c>
      <c r="J31" s="54">
        <f t="shared" si="1"/>
        <v>342</v>
      </c>
    </row>
    <row r="32" spans="1:10" ht="12.75">
      <c r="A32" s="48" t="s">
        <v>22</v>
      </c>
      <c r="B32" s="41">
        <f>40+2+5</f>
        <v>47</v>
      </c>
      <c r="C32" s="32">
        <f>66+6+17</f>
        <v>89</v>
      </c>
      <c r="D32" s="54">
        <f t="shared" si="2"/>
        <v>136</v>
      </c>
      <c r="E32" s="65">
        <v>1</v>
      </c>
      <c r="F32" s="54">
        <v>3</v>
      </c>
      <c r="G32" s="66">
        <f t="shared" si="0"/>
        <v>4</v>
      </c>
      <c r="H32" s="65">
        <f>SUM('15PHOG03'!B32,E32)</f>
        <v>48</v>
      </c>
      <c r="I32" s="54">
        <f>SUM('15PHOG03'!C32,F32)</f>
        <v>92</v>
      </c>
      <c r="J32" s="66">
        <f t="shared" si="1"/>
        <v>140</v>
      </c>
    </row>
    <row r="33" spans="1:10" ht="12.75">
      <c r="A33" s="67" t="s">
        <v>4</v>
      </c>
      <c r="B33" s="68">
        <f>SUM(B24:B32)</f>
        <v>525</v>
      </c>
      <c r="C33" s="69">
        <f>SUM(C24:C32)</f>
        <v>1078</v>
      </c>
      <c r="D33" s="69">
        <f aca="true" t="shared" si="3" ref="D33:J33">SUM(D24:D32)</f>
        <v>1603</v>
      </c>
      <c r="E33" s="68">
        <f t="shared" si="3"/>
        <v>204</v>
      </c>
      <c r="F33" s="69">
        <f t="shared" si="3"/>
        <v>472</v>
      </c>
      <c r="G33" s="69">
        <f t="shared" si="3"/>
        <v>676</v>
      </c>
      <c r="H33" s="68">
        <f t="shared" si="3"/>
        <v>729</v>
      </c>
      <c r="I33" s="69">
        <f t="shared" si="3"/>
        <v>1550</v>
      </c>
      <c r="J33" s="69">
        <f t="shared" si="3"/>
        <v>2279</v>
      </c>
    </row>
  </sheetData>
  <sheetProtection/>
  <printOptions horizontalCentered="1"/>
  <pageMargins left="0.1968503937007874" right="0.1968503937007874" top="0.7874015748031497" bottom="0.3937007874015748" header="0.5118110236220472" footer="0.5118110236220472"/>
  <pageSetup horizontalDpi="1200" verticalDpi="1200" orientation="portrait"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selection activeCell="AP46" sqref="AP46"/>
    </sheetView>
  </sheetViews>
  <sheetFormatPr defaultColWidth="9.140625" defaultRowHeight="12.75"/>
  <cols>
    <col min="1" max="1" width="37.28125" style="88" customWidth="1"/>
    <col min="2" max="10" width="9.28125" style="88" customWidth="1"/>
    <col min="11" max="12" width="8.57421875" style="88" customWidth="1"/>
    <col min="13" max="13" width="10.421875" style="88" customWidth="1"/>
    <col min="14" max="16384" width="9.140625" style="88" customWidth="1"/>
  </cols>
  <sheetData>
    <row r="1" spans="1:10" ht="12.75" customHeight="1">
      <c r="A1" s="86" t="s">
        <v>62</v>
      </c>
      <c r="B1" s="87"/>
      <c r="C1" s="87"/>
      <c r="D1" s="87"/>
      <c r="E1" s="87"/>
      <c r="F1" s="87"/>
      <c r="G1" s="87"/>
      <c r="H1" s="87"/>
      <c r="I1" s="87"/>
      <c r="J1" s="87"/>
    </row>
    <row r="2" spans="1:16" ht="12.75" customHeight="1">
      <c r="A2" s="176" t="s">
        <v>30</v>
      </c>
      <c r="B2" s="176"/>
      <c r="C2" s="176"/>
      <c r="D2" s="176"/>
      <c r="E2" s="176"/>
      <c r="F2" s="176"/>
      <c r="G2" s="176"/>
      <c r="H2" s="176"/>
      <c r="I2" s="176"/>
      <c r="J2" s="176"/>
      <c r="K2" s="176"/>
      <c r="L2" s="176"/>
      <c r="M2" s="176"/>
      <c r="N2" s="176"/>
      <c r="O2" s="176"/>
      <c r="P2" s="176"/>
    </row>
    <row r="3" spans="1:10" ht="12.75" customHeight="1">
      <c r="A3" s="87"/>
      <c r="B3" s="87"/>
      <c r="C3" s="87"/>
      <c r="D3" s="87"/>
      <c r="E3" s="87"/>
      <c r="F3" s="87"/>
      <c r="G3" s="87"/>
      <c r="H3" s="87"/>
      <c r="I3" s="87"/>
      <c r="J3" s="87"/>
    </row>
    <row r="4" spans="1:16" ht="12.75" customHeight="1">
      <c r="A4" s="175" t="s">
        <v>31</v>
      </c>
      <c r="B4" s="175"/>
      <c r="C4" s="175"/>
      <c r="D4" s="175"/>
      <c r="E4" s="175"/>
      <c r="F4" s="175"/>
      <c r="G4" s="175"/>
      <c r="H4" s="175"/>
      <c r="I4" s="175"/>
      <c r="J4" s="175"/>
      <c r="K4" s="175"/>
      <c r="L4" s="175"/>
      <c r="M4" s="175"/>
      <c r="N4" s="175"/>
      <c r="O4" s="175"/>
      <c r="P4" s="175"/>
    </row>
    <row r="5" spans="1:16" ht="12.75" customHeight="1">
      <c r="A5" s="175" t="s">
        <v>67</v>
      </c>
      <c r="B5" s="175"/>
      <c r="C5" s="175"/>
      <c r="D5" s="175"/>
      <c r="E5" s="175"/>
      <c r="F5" s="175"/>
      <c r="G5" s="175"/>
      <c r="H5" s="175"/>
      <c r="I5" s="175"/>
      <c r="J5" s="175"/>
      <c r="K5" s="175"/>
      <c r="L5" s="175"/>
      <c r="M5" s="175"/>
      <c r="N5" s="175"/>
      <c r="O5" s="175"/>
      <c r="P5" s="175"/>
    </row>
    <row r="6" spans="2:10" ht="12.75" customHeight="1" thickBot="1">
      <c r="B6" s="89"/>
      <c r="C6" s="89"/>
      <c r="D6" s="89"/>
      <c r="E6" s="89"/>
      <c r="F6" s="89"/>
      <c r="G6" s="89"/>
      <c r="H6" s="89"/>
      <c r="I6" s="89"/>
      <c r="J6" s="89"/>
    </row>
    <row r="7" spans="1:16" ht="39.75" customHeight="1">
      <c r="A7" s="90"/>
      <c r="B7" s="180" t="s">
        <v>32</v>
      </c>
      <c r="C7" s="181"/>
      <c r="D7" s="182"/>
      <c r="E7" s="180" t="s">
        <v>33</v>
      </c>
      <c r="F7" s="181"/>
      <c r="G7" s="182"/>
      <c r="H7" s="177" t="s">
        <v>77</v>
      </c>
      <c r="I7" s="178"/>
      <c r="J7" s="179"/>
      <c r="K7" s="180" t="s">
        <v>34</v>
      </c>
      <c r="L7" s="181"/>
      <c r="M7" s="182"/>
      <c r="N7" s="91" t="s">
        <v>4</v>
      </c>
      <c r="O7" s="91"/>
      <c r="P7" s="91"/>
    </row>
    <row r="8" spans="1:16" ht="12.75" customHeight="1">
      <c r="A8" s="92"/>
      <c r="B8" s="93" t="s">
        <v>5</v>
      </c>
      <c r="C8" s="94" t="s">
        <v>6</v>
      </c>
      <c r="D8" s="94" t="s">
        <v>4</v>
      </c>
      <c r="E8" s="93" t="s">
        <v>5</v>
      </c>
      <c r="F8" s="94" t="s">
        <v>6</v>
      </c>
      <c r="G8" s="94" t="s">
        <v>4</v>
      </c>
      <c r="H8" s="93" t="s">
        <v>5</v>
      </c>
      <c r="I8" s="94" t="s">
        <v>6</v>
      </c>
      <c r="J8" s="95" t="s">
        <v>4</v>
      </c>
      <c r="K8" s="94" t="s">
        <v>5</v>
      </c>
      <c r="L8" s="94" t="s">
        <v>6</v>
      </c>
      <c r="M8" s="96" t="s">
        <v>4</v>
      </c>
      <c r="N8" s="94" t="s">
        <v>5</v>
      </c>
      <c r="O8" s="94" t="s">
        <v>6</v>
      </c>
      <c r="P8" s="94" t="s">
        <v>4</v>
      </c>
    </row>
    <row r="9" spans="1:13" ht="12.75" customHeight="1">
      <c r="A9" s="97"/>
      <c r="B9" s="98"/>
      <c r="C9" s="99"/>
      <c r="D9" s="99"/>
      <c r="E9" s="98"/>
      <c r="F9" s="99"/>
      <c r="G9" s="99"/>
      <c r="H9" s="98"/>
      <c r="I9" s="99"/>
      <c r="J9" s="100"/>
      <c r="K9" s="99"/>
      <c r="L9" s="99"/>
      <c r="M9" s="101"/>
    </row>
    <row r="10" spans="1:16" ht="12.75" customHeight="1">
      <c r="A10" s="102" t="s">
        <v>35</v>
      </c>
      <c r="B10" s="103">
        <v>907.95</v>
      </c>
      <c r="C10" s="104">
        <v>312.15000000000003</v>
      </c>
      <c r="D10" s="104">
        <v>1220.1000000000001</v>
      </c>
      <c r="E10" s="105">
        <v>181.55</v>
      </c>
      <c r="F10" s="106">
        <v>289.45</v>
      </c>
      <c r="G10" s="104">
        <v>471</v>
      </c>
      <c r="H10" s="103">
        <v>848.8500000000001</v>
      </c>
      <c r="I10" s="107">
        <v>1111.8500000000001</v>
      </c>
      <c r="J10" s="108">
        <v>1960.7000000000003</v>
      </c>
      <c r="K10" s="107">
        <v>301.4</v>
      </c>
      <c r="L10" s="107">
        <v>144.4</v>
      </c>
      <c r="M10" s="108">
        <v>445.79999999999995</v>
      </c>
      <c r="N10" s="104">
        <v>2239.75</v>
      </c>
      <c r="O10" s="104">
        <v>1857.8500000000004</v>
      </c>
      <c r="P10" s="104">
        <v>4097.6</v>
      </c>
    </row>
    <row r="11" spans="1:16" ht="12.75" customHeight="1">
      <c r="A11" s="88" t="s">
        <v>36</v>
      </c>
      <c r="B11" s="103">
        <v>342.55</v>
      </c>
      <c r="C11" s="104">
        <v>120.05</v>
      </c>
      <c r="D11" s="104">
        <v>462.6</v>
      </c>
      <c r="E11" s="105">
        <v>96.4</v>
      </c>
      <c r="F11" s="106">
        <v>144.95</v>
      </c>
      <c r="G11" s="104">
        <v>241.35</v>
      </c>
      <c r="H11" s="103">
        <v>261.9</v>
      </c>
      <c r="I11" s="104">
        <v>404.58</v>
      </c>
      <c r="J11" s="108">
        <v>666.48</v>
      </c>
      <c r="K11" s="107">
        <v>83.65</v>
      </c>
      <c r="L11" s="107">
        <v>43</v>
      </c>
      <c r="M11" s="108">
        <v>126.65</v>
      </c>
      <c r="N11" s="104">
        <v>784.5</v>
      </c>
      <c r="O11" s="104">
        <v>712.5799999999999</v>
      </c>
      <c r="P11" s="104">
        <v>1497.0800000000002</v>
      </c>
    </row>
    <row r="12" spans="1:16" ht="12.75" customHeight="1">
      <c r="A12" s="102" t="s">
        <v>37</v>
      </c>
      <c r="B12" s="103">
        <v>708.3999999999999</v>
      </c>
      <c r="C12" s="104">
        <v>217.85</v>
      </c>
      <c r="D12" s="104">
        <v>926.2499999999999</v>
      </c>
      <c r="E12" s="105">
        <v>428.05</v>
      </c>
      <c r="F12" s="106">
        <v>520.55</v>
      </c>
      <c r="G12" s="104">
        <v>948.5999999999999</v>
      </c>
      <c r="H12" s="103">
        <v>583.8</v>
      </c>
      <c r="I12" s="107">
        <v>841.1500000000001</v>
      </c>
      <c r="J12" s="108">
        <v>1424.95</v>
      </c>
      <c r="K12" s="107">
        <v>89.75</v>
      </c>
      <c r="L12" s="107">
        <v>68.45</v>
      </c>
      <c r="M12" s="108">
        <v>158.2</v>
      </c>
      <c r="N12" s="104">
        <v>1809.9999999999998</v>
      </c>
      <c r="O12" s="104">
        <v>1648.0000000000002</v>
      </c>
      <c r="P12" s="104">
        <v>3458</v>
      </c>
    </row>
    <row r="13" spans="1:16" ht="12.75" customHeight="1">
      <c r="A13" s="102" t="s">
        <v>38</v>
      </c>
      <c r="B13" s="109">
        <v>113.4</v>
      </c>
      <c r="C13" s="104">
        <v>42.9</v>
      </c>
      <c r="D13" s="104">
        <v>156.3</v>
      </c>
      <c r="E13" s="105">
        <v>38.65</v>
      </c>
      <c r="F13" s="106">
        <v>57.55</v>
      </c>
      <c r="G13" s="104">
        <v>96.19999999999999</v>
      </c>
      <c r="H13" s="103">
        <v>60</v>
      </c>
      <c r="I13" s="107">
        <v>103.94999999999999</v>
      </c>
      <c r="J13" s="108">
        <v>163.95</v>
      </c>
      <c r="K13" s="107">
        <v>21.75</v>
      </c>
      <c r="L13" s="107">
        <v>18.25</v>
      </c>
      <c r="M13" s="108">
        <v>40</v>
      </c>
      <c r="N13" s="104">
        <v>233.8</v>
      </c>
      <c r="O13" s="104">
        <v>222.64999999999998</v>
      </c>
      <c r="P13" s="104">
        <v>456.45</v>
      </c>
    </row>
    <row r="14" spans="1:16" ht="12.75" customHeight="1">
      <c r="A14" s="102" t="s">
        <v>39</v>
      </c>
      <c r="B14" s="103">
        <v>278.55</v>
      </c>
      <c r="C14" s="104">
        <v>108.4</v>
      </c>
      <c r="D14" s="104">
        <v>386.95000000000005</v>
      </c>
      <c r="E14" s="105">
        <v>69.5</v>
      </c>
      <c r="F14" s="106">
        <v>69.75</v>
      </c>
      <c r="G14" s="104">
        <v>139.25</v>
      </c>
      <c r="H14" s="103">
        <v>213.95000000000002</v>
      </c>
      <c r="I14" s="107">
        <v>262.99</v>
      </c>
      <c r="J14" s="108">
        <v>476.94000000000005</v>
      </c>
      <c r="K14" s="107">
        <v>7.2</v>
      </c>
      <c r="L14" s="107">
        <v>9.4</v>
      </c>
      <c r="M14" s="108">
        <v>16.6</v>
      </c>
      <c r="N14" s="104">
        <v>569.2</v>
      </c>
      <c r="O14" s="104">
        <v>450.53999999999996</v>
      </c>
      <c r="P14" s="104">
        <v>1019.7400000000001</v>
      </c>
    </row>
    <row r="15" spans="1:256" ht="12.75" customHeight="1">
      <c r="A15" s="110" t="s">
        <v>4</v>
      </c>
      <c r="B15" s="111">
        <v>2350.85</v>
      </c>
      <c r="C15" s="112">
        <v>801.35</v>
      </c>
      <c r="D15" s="113">
        <v>3152.2000000000007</v>
      </c>
      <c r="E15" s="111">
        <v>814.15</v>
      </c>
      <c r="F15" s="112">
        <v>1082.25</v>
      </c>
      <c r="G15" s="113">
        <v>1896.3999999999999</v>
      </c>
      <c r="H15" s="111">
        <v>1968.5</v>
      </c>
      <c r="I15" s="112">
        <v>2724.5199999999995</v>
      </c>
      <c r="J15" s="113">
        <v>4693.02</v>
      </c>
      <c r="K15" s="112">
        <v>503.74999999999994</v>
      </c>
      <c r="L15" s="112">
        <v>283.5</v>
      </c>
      <c r="M15" s="112">
        <v>787.2499999999999</v>
      </c>
      <c r="N15" s="111">
        <v>5637.25</v>
      </c>
      <c r="O15" s="112">
        <v>4891.62</v>
      </c>
      <c r="P15" s="112">
        <v>10528.87</v>
      </c>
      <c r="Q15" s="114"/>
      <c r="S15" s="114"/>
      <c r="T15" s="114"/>
      <c r="U15" s="114"/>
      <c r="V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row>
    <row r="16" spans="1:33" s="114" customFormat="1" ht="12.75" customHeight="1">
      <c r="A16" s="110"/>
      <c r="B16" s="115"/>
      <c r="C16" s="115"/>
      <c r="D16" s="115"/>
      <c r="E16" s="115"/>
      <c r="F16" s="115"/>
      <c r="G16" s="115"/>
      <c r="H16" s="115"/>
      <c r="I16" s="115"/>
      <c r="J16" s="115"/>
      <c r="K16" s="115"/>
      <c r="L16" s="115"/>
      <c r="M16" s="115"/>
      <c r="O16" s="88"/>
      <c r="T16" s="88"/>
      <c r="U16" s="88"/>
      <c r="V16" s="88"/>
      <c r="W16" s="88"/>
      <c r="X16" s="88"/>
      <c r="Y16" s="88"/>
      <c r="Z16" s="88"/>
      <c r="AA16" s="88"/>
      <c r="AB16" s="88"/>
      <c r="AC16" s="88"/>
      <c r="AD16" s="88"/>
      <c r="AE16" s="88"/>
      <c r="AF16" s="88"/>
      <c r="AG16" s="88"/>
    </row>
    <row r="17" spans="1:256" s="114" customFormat="1" ht="12.75"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16" ht="12.75" customHeight="1">
      <c r="A18" s="175" t="s">
        <v>31</v>
      </c>
      <c r="B18" s="175"/>
      <c r="C18" s="175"/>
      <c r="D18" s="175"/>
      <c r="E18" s="175"/>
      <c r="F18" s="175"/>
      <c r="G18" s="175"/>
      <c r="H18" s="175"/>
      <c r="I18" s="175"/>
      <c r="J18" s="175"/>
      <c r="K18" s="175"/>
      <c r="L18" s="175"/>
      <c r="M18" s="175"/>
      <c r="N18" s="175"/>
      <c r="O18" s="175"/>
      <c r="P18" s="175"/>
    </row>
    <row r="19" spans="1:33" ht="12.75" customHeight="1">
      <c r="A19" s="175" t="s">
        <v>41</v>
      </c>
      <c r="B19" s="175"/>
      <c r="C19" s="175"/>
      <c r="D19" s="175"/>
      <c r="E19" s="175"/>
      <c r="F19" s="175"/>
      <c r="G19" s="175"/>
      <c r="H19" s="175"/>
      <c r="I19" s="175"/>
      <c r="J19" s="175"/>
      <c r="K19" s="175"/>
      <c r="L19" s="175"/>
      <c r="M19" s="175"/>
      <c r="N19" s="175"/>
      <c r="O19" s="175"/>
      <c r="P19" s="175"/>
      <c r="T19" s="117"/>
      <c r="U19" s="117"/>
      <c r="V19" s="117"/>
      <c r="W19" s="117"/>
      <c r="X19" s="117"/>
      <c r="Y19" s="117"/>
      <c r="Z19" s="117"/>
      <c r="AA19" s="117"/>
      <c r="AB19" s="117"/>
      <c r="AC19" s="117"/>
      <c r="AD19" s="117"/>
      <c r="AE19" s="117"/>
      <c r="AF19" s="117"/>
      <c r="AG19" s="117"/>
    </row>
    <row r="20" spans="2:33" ht="12.75" customHeight="1" thickBot="1">
      <c r="B20" s="89"/>
      <c r="C20" s="89"/>
      <c r="D20" s="89"/>
      <c r="E20" s="89"/>
      <c r="F20" s="89"/>
      <c r="G20" s="89"/>
      <c r="H20" s="89"/>
      <c r="I20" s="89"/>
      <c r="J20" s="89"/>
      <c r="T20" s="117"/>
      <c r="U20" s="117"/>
      <c r="V20" s="117"/>
      <c r="W20" s="117"/>
      <c r="X20" s="117"/>
      <c r="Y20" s="117"/>
      <c r="Z20" s="117"/>
      <c r="AA20" s="117"/>
      <c r="AB20" s="117"/>
      <c r="AC20" s="117"/>
      <c r="AD20" s="117"/>
      <c r="AE20" s="117"/>
      <c r="AF20" s="117"/>
      <c r="AG20" s="117"/>
    </row>
    <row r="21" spans="1:253" ht="12.75" customHeight="1">
      <c r="A21" s="118"/>
      <c r="B21" s="183">
        <v>2010</v>
      </c>
      <c r="C21" s="184"/>
      <c r="D21" s="185"/>
      <c r="E21" s="184">
        <v>2012</v>
      </c>
      <c r="F21" s="184"/>
      <c r="G21" s="184"/>
      <c r="H21" s="183">
        <v>2014</v>
      </c>
      <c r="I21" s="184"/>
      <c r="J21" s="184"/>
      <c r="K21" s="183">
        <v>2016</v>
      </c>
      <c r="L21" s="184"/>
      <c r="M21" s="184"/>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row>
    <row r="22" spans="1:253" ht="12.75" customHeight="1">
      <c r="A22" s="120"/>
      <c r="B22" s="93" t="s">
        <v>5</v>
      </c>
      <c r="C22" s="94" t="s">
        <v>6</v>
      </c>
      <c r="D22" s="94" t="s">
        <v>4</v>
      </c>
      <c r="E22" s="93" t="s">
        <v>5</v>
      </c>
      <c r="F22" s="94" t="s">
        <v>6</v>
      </c>
      <c r="G22" s="94" t="s">
        <v>4</v>
      </c>
      <c r="H22" s="93" t="s">
        <v>5</v>
      </c>
      <c r="I22" s="94" t="s">
        <v>6</v>
      </c>
      <c r="J22" s="94" t="s">
        <v>4</v>
      </c>
      <c r="K22" s="93" t="s">
        <v>5</v>
      </c>
      <c r="L22" s="94" t="s">
        <v>6</v>
      </c>
      <c r="M22" s="94" t="s">
        <v>4</v>
      </c>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c r="IR22" s="121"/>
      <c r="IS22" s="121"/>
    </row>
    <row r="23" spans="1:253" ht="12.75" customHeight="1">
      <c r="A23" s="122"/>
      <c r="B23" s="98"/>
      <c r="C23" s="99"/>
      <c r="D23" s="99"/>
      <c r="E23" s="98"/>
      <c r="F23" s="99"/>
      <c r="G23" s="99"/>
      <c r="H23" s="98"/>
      <c r="I23" s="99"/>
      <c r="J23" s="99"/>
      <c r="K23" s="98"/>
      <c r="L23" s="99"/>
      <c r="M23" s="99"/>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row>
    <row r="24" spans="1:253" ht="12.75" customHeight="1">
      <c r="A24" s="123" t="s">
        <v>42</v>
      </c>
      <c r="B24" s="124"/>
      <c r="C24" s="89"/>
      <c r="D24" s="89"/>
      <c r="E24" s="124"/>
      <c r="F24" s="89"/>
      <c r="G24" s="89"/>
      <c r="H24" s="124"/>
      <c r="I24" s="89"/>
      <c r="J24" s="89"/>
      <c r="K24" s="124"/>
      <c r="L24" s="89"/>
      <c r="M24" s="89"/>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row>
    <row r="25" spans="1:253" s="119" customFormat="1" ht="12.75" customHeight="1">
      <c r="A25" s="125" t="s">
        <v>43</v>
      </c>
      <c r="B25" s="103">
        <v>2074.35</v>
      </c>
      <c r="C25" s="104">
        <v>526.65</v>
      </c>
      <c r="D25" s="104">
        <v>2601</v>
      </c>
      <c r="E25" s="103">
        <v>2064.5</v>
      </c>
      <c r="F25" s="104">
        <v>595.25</v>
      </c>
      <c r="G25" s="104">
        <v>2659.75</v>
      </c>
      <c r="H25" s="103">
        <v>2162.75</v>
      </c>
      <c r="I25" s="104">
        <v>696.5</v>
      </c>
      <c r="J25" s="104">
        <v>2859.25</v>
      </c>
      <c r="K25" s="103">
        <v>2350.85</v>
      </c>
      <c r="L25" s="104">
        <v>801.35</v>
      </c>
      <c r="M25" s="104">
        <v>3152.2</v>
      </c>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row>
    <row r="26" spans="1:13" s="121" customFormat="1" ht="12.75" customHeight="1">
      <c r="A26" s="125" t="s">
        <v>44</v>
      </c>
      <c r="B26" s="103">
        <v>867.71</v>
      </c>
      <c r="C26" s="107">
        <v>1013.08</v>
      </c>
      <c r="D26" s="104">
        <v>1880.79</v>
      </c>
      <c r="E26" s="103">
        <v>826.11</v>
      </c>
      <c r="F26" s="107">
        <v>993.2999999999998</v>
      </c>
      <c r="G26" s="104">
        <v>1819.4099999999999</v>
      </c>
      <c r="H26" s="103">
        <v>792.96</v>
      </c>
      <c r="I26" s="107">
        <v>1065.75</v>
      </c>
      <c r="J26" s="104">
        <v>1858.71</v>
      </c>
      <c r="K26" s="103">
        <v>814.15</v>
      </c>
      <c r="L26" s="107">
        <v>1082.25</v>
      </c>
      <c r="M26" s="104">
        <v>1896.4</v>
      </c>
    </row>
    <row r="27" spans="1:253" s="121" customFormat="1" ht="12.75" customHeight="1">
      <c r="A27" s="126" t="s">
        <v>4</v>
      </c>
      <c r="B27" s="112">
        <v>2942.06</v>
      </c>
      <c r="C27" s="112">
        <v>1539.73</v>
      </c>
      <c r="D27" s="113">
        <v>4481.79</v>
      </c>
      <c r="E27" s="112">
        <v>2890.61</v>
      </c>
      <c r="F27" s="112">
        <v>1588.5499999999997</v>
      </c>
      <c r="G27" s="112">
        <v>4479.16</v>
      </c>
      <c r="H27" s="111">
        <v>2955.71</v>
      </c>
      <c r="I27" s="112">
        <v>1762.25</v>
      </c>
      <c r="J27" s="112">
        <v>4717.96</v>
      </c>
      <c r="K27" s="111">
        <v>3165</v>
      </c>
      <c r="L27" s="112">
        <v>1883.6</v>
      </c>
      <c r="M27" s="112">
        <v>5048.6</v>
      </c>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13" s="121" customFormat="1" ht="12.75" customHeight="1">
      <c r="A28" s="125"/>
      <c r="B28" s="107"/>
      <c r="C28" s="107"/>
      <c r="D28" s="108"/>
      <c r="E28" s="107"/>
      <c r="F28" s="107"/>
      <c r="G28" s="104"/>
      <c r="H28" s="103"/>
      <c r="I28" s="107"/>
      <c r="J28" s="104"/>
      <c r="K28" s="103"/>
      <c r="L28" s="107"/>
      <c r="M28" s="104"/>
    </row>
    <row r="29" spans="1:13" s="121" customFormat="1" ht="12.75" customHeight="1">
      <c r="A29" s="123" t="s">
        <v>34</v>
      </c>
      <c r="B29" s="107"/>
      <c r="C29" s="107"/>
      <c r="D29" s="108"/>
      <c r="E29" s="107"/>
      <c r="F29" s="107"/>
      <c r="G29" s="104"/>
      <c r="H29" s="103">
        <v>705.05</v>
      </c>
      <c r="I29" s="107">
        <v>393.70000000000005</v>
      </c>
      <c r="J29" s="104">
        <v>1098.75</v>
      </c>
      <c r="K29" s="103">
        <v>503.74999999999994</v>
      </c>
      <c r="L29" s="107">
        <v>283.5</v>
      </c>
      <c r="M29" s="104">
        <v>787.25</v>
      </c>
    </row>
    <row r="30" spans="1:13" s="121" customFormat="1" ht="12.75" customHeight="1">
      <c r="A30" s="127" t="s">
        <v>49</v>
      </c>
      <c r="B30" s="107">
        <v>1868.52</v>
      </c>
      <c r="C30" s="107">
        <v>2196.83</v>
      </c>
      <c r="D30" s="108">
        <v>4065.35</v>
      </c>
      <c r="E30" s="107">
        <v>1851.3</v>
      </c>
      <c r="F30" s="107">
        <v>2287.72</v>
      </c>
      <c r="G30" s="104">
        <v>4139.0199999999995</v>
      </c>
      <c r="H30" s="103">
        <v>1942.7999999999997</v>
      </c>
      <c r="I30" s="107">
        <v>2660.96</v>
      </c>
      <c r="J30" s="104">
        <v>4603.76</v>
      </c>
      <c r="K30" s="103">
        <v>1968.5</v>
      </c>
      <c r="L30" s="107">
        <v>2724.5199999999995</v>
      </c>
      <c r="M30" s="104">
        <v>4693.0199999999995</v>
      </c>
    </row>
    <row r="31" spans="1:13" s="114" customFormat="1" ht="12.75" customHeight="1">
      <c r="A31" s="128" t="s">
        <v>45</v>
      </c>
      <c r="B31" s="111">
        <v>4810.58</v>
      </c>
      <c r="C31" s="112">
        <v>3736.56</v>
      </c>
      <c r="D31" s="113">
        <v>8547.14</v>
      </c>
      <c r="E31" s="112">
        <v>4741.91</v>
      </c>
      <c r="F31" s="112">
        <v>3876.2699999999995</v>
      </c>
      <c r="G31" s="112">
        <v>8618.18</v>
      </c>
      <c r="H31" s="111">
        <v>5603.5599999999995</v>
      </c>
      <c r="I31" s="112">
        <v>4816.91</v>
      </c>
      <c r="J31" s="112">
        <v>10420.470000000001</v>
      </c>
      <c r="K31" s="111">
        <v>5637.25</v>
      </c>
      <c r="L31" s="112">
        <v>4891.619999999999</v>
      </c>
      <c r="M31" s="112">
        <v>10528.869999999999</v>
      </c>
    </row>
    <row r="32" spans="1:13" s="121" customFormat="1" ht="12.75" customHeight="1">
      <c r="A32" s="114" t="s">
        <v>46</v>
      </c>
      <c r="B32" s="103"/>
      <c r="C32" s="173"/>
      <c r="D32" s="130"/>
      <c r="E32" s="104"/>
      <c r="F32" s="129"/>
      <c r="G32" s="129"/>
      <c r="H32" s="103"/>
      <c r="I32" s="129"/>
      <c r="J32" s="129"/>
      <c r="K32" s="103"/>
      <c r="L32" s="129"/>
      <c r="M32" s="129"/>
    </row>
    <row r="33" spans="1:13" s="121" customFormat="1" ht="12.75" customHeight="1">
      <c r="A33" s="114" t="s">
        <v>50</v>
      </c>
      <c r="B33" s="131">
        <v>106.60000000000001</v>
      </c>
      <c r="C33" s="174">
        <v>48.9</v>
      </c>
      <c r="D33" s="133">
        <v>155.5</v>
      </c>
      <c r="E33" s="132">
        <v>120.9</v>
      </c>
      <c r="F33" s="132">
        <v>52.2</v>
      </c>
      <c r="G33" s="132">
        <v>173.10000000000002</v>
      </c>
      <c r="H33" s="131">
        <v>132.10000000000002</v>
      </c>
      <c r="I33" s="132">
        <v>70.17</v>
      </c>
      <c r="J33" s="132">
        <v>202.27000000000004</v>
      </c>
      <c r="K33" s="131">
        <v>132.05</v>
      </c>
      <c r="L33" s="132">
        <v>82.39999999999999</v>
      </c>
      <c r="M33" s="132">
        <v>214.45</v>
      </c>
    </row>
    <row r="34" s="121" customFormat="1" ht="12.75" customHeight="1">
      <c r="A34" s="134"/>
    </row>
    <row r="35" spans="1:256" s="114" customFormat="1" ht="12.75" customHeight="1">
      <c r="A35" s="116" t="s">
        <v>40</v>
      </c>
      <c r="B35" s="88"/>
      <c r="C35" s="88"/>
      <c r="D35" s="88"/>
      <c r="E35" s="88"/>
      <c r="F35" s="88"/>
      <c r="G35" s="88"/>
      <c r="H35" s="88"/>
      <c r="I35" s="88"/>
      <c r="J35" s="88"/>
      <c r="K35" s="88"/>
      <c r="L35" s="88"/>
      <c r="M35" s="88"/>
      <c r="N35" s="88"/>
      <c r="O35" s="88"/>
      <c r="P35" s="88"/>
      <c r="Q35" s="88"/>
      <c r="R35" s="88"/>
      <c r="S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row>
    <row r="36" spans="1:256" s="121" customFormat="1" ht="12.75" customHeight="1">
      <c r="A36" s="139" t="s">
        <v>76</v>
      </c>
      <c r="B36" s="88"/>
      <c r="C36" s="88"/>
      <c r="D36" s="88"/>
      <c r="E36" s="88"/>
      <c r="F36" s="88"/>
      <c r="G36" s="88"/>
      <c r="H36" s="88"/>
      <c r="I36" s="88"/>
      <c r="J36" s="88"/>
      <c r="K36" s="88"/>
      <c r="L36" s="88"/>
      <c r="M36" s="88"/>
      <c r="N36" s="88"/>
      <c r="O36" s="88"/>
      <c r="P36" s="88"/>
      <c r="Q36" s="88"/>
      <c r="R36" s="88"/>
      <c r="S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row r="37" spans="1:256" s="121" customFormat="1" ht="12.75" customHeight="1">
      <c r="A37" s="139" t="s">
        <v>78</v>
      </c>
      <c r="B37" s="88"/>
      <c r="C37" s="88"/>
      <c r="D37" s="88"/>
      <c r="E37" s="88"/>
      <c r="F37" s="88"/>
      <c r="G37" s="88"/>
      <c r="H37" s="88"/>
      <c r="I37" s="88"/>
      <c r="J37" s="88"/>
      <c r="K37" s="88"/>
      <c r="L37" s="88"/>
      <c r="M37" s="88"/>
      <c r="N37" s="88"/>
      <c r="O37" s="88"/>
      <c r="P37" s="88"/>
      <c r="Q37" s="88"/>
      <c r="R37" s="88"/>
      <c r="S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row>
    <row r="38" spans="1:256" s="121" customFormat="1" ht="12.75" customHeight="1">
      <c r="A38" s="139" t="s">
        <v>79</v>
      </c>
      <c r="B38" s="88"/>
      <c r="C38" s="88"/>
      <c r="D38" s="88"/>
      <c r="E38" s="88"/>
      <c r="F38" s="88"/>
      <c r="G38" s="88"/>
      <c r="H38" s="88"/>
      <c r="I38" s="88"/>
      <c r="J38" s="88"/>
      <c r="K38" s="88"/>
      <c r="L38" s="88"/>
      <c r="M38" s="88"/>
      <c r="N38" s="88"/>
      <c r="O38" s="88"/>
      <c r="P38" s="88"/>
      <c r="Q38" s="88"/>
      <c r="R38" s="88"/>
      <c r="S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row>
    <row r="39" spans="1:33" ht="12.75" customHeight="1">
      <c r="A39" s="88" t="s">
        <v>51</v>
      </c>
      <c r="T39" s="121"/>
      <c r="U39" s="121"/>
      <c r="V39" s="121"/>
      <c r="W39" s="121"/>
      <c r="X39" s="121"/>
      <c r="Y39" s="121"/>
      <c r="Z39" s="121"/>
      <c r="AA39" s="121"/>
      <c r="AB39" s="121"/>
      <c r="AC39" s="121"/>
      <c r="AD39" s="121"/>
      <c r="AE39" s="121"/>
      <c r="AF39" s="121"/>
      <c r="AG39" s="121"/>
    </row>
    <row r="40" ht="12.75" customHeight="1"/>
    <row r="41" ht="12.75" customHeight="1">
      <c r="A41" s="102" t="s">
        <v>47</v>
      </c>
    </row>
    <row r="42" ht="12.75" customHeight="1"/>
    <row r="43" ht="12.75" customHeight="1"/>
    <row r="44" ht="12.75" customHeight="1"/>
    <row r="45" ht="12.75" customHeight="1"/>
  </sheetData>
  <sheetProtection/>
  <mergeCells count="13">
    <mergeCell ref="B21:D21"/>
    <mergeCell ref="E21:G21"/>
    <mergeCell ref="H21:J21"/>
    <mergeCell ref="K21:M21"/>
    <mergeCell ref="A4:P4"/>
    <mergeCell ref="A5:P5"/>
    <mergeCell ref="A2:P2"/>
    <mergeCell ref="A18:P18"/>
    <mergeCell ref="A19:P19"/>
    <mergeCell ref="H7:J7"/>
    <mergeCell ref="B7:D7"/>
    <mergeCell ref="E7:G7"/>
    <mergeCell ref="K7:M7"/>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AG29"/>
  <sheetViews>
    <sheetView zoomScale="115" zoomScaleNormal="115" zoomScaleSheetLayoutView="100" zoomScalePageLayoutView="0" workbookViewId="0" topLeftCell="A1">
      <selection activeCell="Z47" sqref="Z47"/>
    </sheetView>
  </sheetViews>
  <sheetFormatPr defaultColWidth="9.140625" defaultRowHeight="12.75"/>
  <cols>
    <col min="1" max="1" width="10.8515625" style="139" customWidth="1"/>
    <col min="2" max="16" width="10.140625" style="139" customWidth="1"/>
    <col min="17" max="16384" width="9.140625" style="139" customWidth="1"/>
  </cols>
  <sheetData>
    <row r="1" spans="1:4" s="137" customFormat="1" ht="12.75">
      <c r="A1" s="135" t="s">
        <v>62</v>
      </c>
      <c r="B1" s="136"/>
      <c r="C1" s="136"/>
      <c r="D1" s="136"/>
    </row>
    <row r="2" spans="1:19" s="137" customFormat="1" ht="12.75">
      <c r="A2" s="192" t="s">
        <v>30</v>
      </c>
      <c r="B2" s="192"/>
      <c r="C2" s="192"/>
      <c r="D2" s="192"/>
      <c r="E2" s="192"/>
      <c r="F2" s="192"/>
      <c r="G2" s="192"/>
      <c r="H2" s="192"/>
      <c r="I2" s="192"/>
      <c r="J2" s="192"/>
      <c r="K2" s="192"/>
      <c r="L2" s="192"/>
      <c r="M2" s="192"/>
      <c r="N2" s="192"/>
      <c r="O2" s="192"/>
      <c r="P2" s="192"/>
      <c r="Q2" s="192"/>
      <c r="R2" s="192"/>
      <c r="S2" s="192"/>
    </row>
    <row r="3" spans="1:4" s="137" customFormat="1" ht="7.5" customHeight="1">
      <c r="A3" s="136"/>
      <c r="B3" s="136"/>
      <c r="C3" s="136"/>
      <c r="D3" s="136"/>
    </row>
    <row r="4" spans="1:19" s="137" customFormat="1" ht="12.75">
      <c r="A4" s="193" t="s">
        <v>31</v>
      </c>
      <c r="B4" s="193"/>
      <c r="C4" s="193"/>
      <c r="D4" s="193"/>
      <c r="E4" s="193"/>
      <c r="F4" s="193"/>
      <c r="G4" s="193"/>
      <c r="H4" s="193"/>
      <c r="I4" s="193"/>
      <c r="J4" s="193"/>
      <c r="K4" s="193"/>
      <c r="L4" s="193"/>
      <c r="M4" s="193"/>
      <c r="N4" s="193"/>
      <c r="O4" s="193"/>
      <c r="P4" s="193"/>
      <c r="Q4" s="193"/>
      <c r="R4" s="193"/>
      <c r="S4" s="193"/>
    </row>
    <row r="5" spans="1:4" ht="8.25" customHeight="1">
      <c r="A5" s="138"/>
      <c r="B5" s="138"/>
      <c r="C5" s="138"/>
      <c r="D5" s="138"/>
    </row>
    <row r="6" spans="1:19" ht="12.75">
      <c r="A6" s="192" t="s">
        <v>68</v>
      </c>
      <c r="B6" s="192"/>
      <c r="C6" s="192"/>
      <c r="D6" s="192"/>
      <c r="E6" s="192"/>
      <c r="F6" s="192"/>
      <c r="G6" s="192"/>
      <c r="H6" s="192"/>
      <c r="I6" s="192"/>
      <c r="J6" s="192"/>
      <c r="K6" s="192"/>
      <c r="L6" s="192"/>
      <c r="M6" s="192"/>
      <c r="N6" s="192"/>
      <c r="O6" s="192"/>
      <c r="P6" s="192"/>
      <c r="Q6" s="192"/>
      <c r="R6" s="192"/>
      <c r="S6" s="192"/>
    </row>
    <row r="7" spans="1:4" ht="6.75" customHeight="1" thickBot="1">
      <c r="A7" s="137"/>
      <c r="B7" s="140"/>
      <c r="C7" s="140"/>
      <c r="D7" s="140"/>
    </row>
    <row r="8" spans="1:19" ht="22.5" customHeight="1">
      <c r="A8" s="141"/>
      <c r="B8" s="142" t="s">
        <v>52</v>
      </c>
      <c r="C8" s="143"/>
      <c r="D8" s="144"/>
      <c r="E8" s="143" t="s">
        <v>53</v>
      </c>
      <c r="F8" s="143"/>
      <c r="G8" s="143"/>
      <c r="H8" s="186" t="s">
        <v>80</v>
      </c>
      <c r="I8" s="187"/>
      <c r="J8" s="188"/>
      <c r="K8" s="143" t="s">
        <v>34</v>
      </c>
      <c r="L8" s="143"/>
      <c r="M8" s="144"/>
      <c r="N8" s="143" t="s">
        <v>4</v>
      </c>
      <c r="O8" s="143"/>
      <c r="P8" s="143"/>
      <c r="Q8" s="142" t="s">
        <v>54</v>
      </c>
      <c r="R8" s="143"/>
      <c r="S8" s="143"/>
    </row>
    <row r="9" spans="1:19" ht="21.75" customHeight="1">
      <c r="A9" s="145"/>
      <c r="B9" s="146" t="s">
        <v>55</v>
      </c>
      <c r="C9" s="147"/>
      <c r="D9" s="148"/>
      <c r="E9" s="147" t="s">
        <v>55</v>
      </c>
      <c r="F9" s="147"/>
      <c r="G9" s="147"/>
      <c r="H9" s="189"/>
      <c r="I9" s="190"/>
      <c r="J9" s="191"/>
      <c r="K9" s="147"/>
      <c r="L9" s="147"/>
      <c r="M9" s="148"/>
      <c r="N9" s="149"/>
      <c r="O9" s="149"/>
      <c r="P9" s="149"/>
      <c r="Q9" s="146" t="s">
        <v>56</v>
      </c>
      <c r="R9" s="147"/>
      <c r="S9" s="147"/>
    </row>
    <row r="10" spans="1:19" ht="12.75">
      <c r="A10" s="145"/>
      <c r="B10" s="146"/>
      <c r="C10" s="147"/>
      <c r="D10" s="148"/>
      <c r="E10" s="147"/>
      <c r="F10" s="147"/>
      <c r="G10" s="147"/>
      <c r="H10" s="150"/>
      <c r="I10" s="151"/>
      <c r="J10" s="152"/>
      <c r="K10" s="147"/>
      <c r="L10" s="147"/>
      <c r="M10" s="148"/>
      <c r="N10" s="149"/>
      <c r="O10" s="149"/>
      <c r="P10" s="149"/>
      <c r="Q10" s="150" t="s">
        <v>57</v>
      </c>
      <c r="R10" s="151"/>
      <c r="S10" s="151"/>
    </row>
    <row r="11" spans="1:19" s="157" customFormat="1" ht="12.75">
      <c r="A11" s="153"/>
      <c r="B11" s="154" t="s">
        <v>5</v>
      </c>
      <c r="C11" s="155" t="s">
        <v>6</v>
      </c>
      <c r="D11" s="156" t="s">
        <v>4</v>
      </c>
      <c r="E11" s="155" t="s">
        <v>5</v>
      </c>
      <c r="F11" s="155" t="s">
        <v>6</v>
      </c>
      <c r="G11" s="155" t="s">
        <v>4</v>
      </c>
      <c r="H11" s="154" t="s">
        <v>5</v>
      </c>
      <c r="I11" s="155" t="s">
        <v>6</v>
      </c>
      <c r="J11" s="156" t="s">
        <v>4</v>
      </c>
      <c r="K11" s="155"/>
      <c r="L11" s="155"/>
      <c r="M11" s="156"/>
      <c r="N11" s="155" t="s">
        <v>5</v>
      </c>
      <c r="O11" s="155" t="s">
        <v>6</v>
      </c>
      <c r="P11" s="155" t="s">
        <v>4</v>
      </c>
      <c r="Q11" s="154" t="s">
        <v>5</v>
      </c>
      <c r="R11" s="155" t="s">
        <v>6</v>
      </c>
      <c r="S11" s="155" t="s">
        <v>4</v>
      </c>
    </row>
    <row r="12" spans="2:19" s="157" customFormat="1" ht="7.5" customHeight="1">
      <c r="B12" s="158"/>
      <c r="C12" s="159"/>
      <c r="D12" s="160"/>
      <c r="E12" s="159"/>
      <c r="F12" s="159"/>
      <c r="G12" s="159"/>
      <c r="H12" s="158"/>
      <c r="I12" s="159"/>
      <c r="J12" s="160"/>
      <c r="K12" s="159"/>
      <c r="L12" s="159"/>
      <c r="M12" s="160"/>
      <c r="N12" s="159"/>
      <c r="O12" s="159"/>
      <c r="P12" s="159"/>
      <c r="Q12" s="158"/>
      <c r="R12" s="159"/>
      <c r="S12" s="159"/>
    </row>
    <row r="13" spans="1:19" s="145" customFormat="1" ht="12" customHeight="1">
      <c r="A13" s="161" t="s">
        <v>58</v>
      </c>
      <c r="B13" s="162">
        <f>0+23</f>
        <v>23</v>
      </c>
      <c r="C13" s="163">
        <f>2+18</f>
        <v>20</v>
      </c>
      <c r="D13" s="164">
        <f aca="true" t="shared" si="0" ref="D13:D21">SUM(B13:C13)</f>
        <v>43</v>
      </c>
      <c r="E13" s="163">
        <f>99+450</f>
        <v>549</v>
      </c>
      <c r="F13" s="163">
        <f>149+632</f>
        <v>781</v>
      </c>
      <c r="G13" s="163">
        <f aca="true" t="shared" si="1" ref="G13:G21">SUM(E13:F13)</f>
        <v>1330</v>
      </c>
      <c r="H13" s="162">
        <f>14+101</f>
        <v>115</v>
      </c>
      <c r="I13" s="163">
        <f>41+241</f>
        <v>282</v>
      </c>
      <c r="J13" s="164">
        <f aca="true" t="shared" si="2" ref="J13:J21">SUM(H13:I13)</f>
        <v>397</v>
      </c>
      <c r="K13" s="163">
        <f>0+0+16</f>
        <v>16</v>
      </c>
      <c r="L13" s="163">
        <f>0+0+13</f>
        <v>13</v>
      </c>
      <c r="M13" s="164">
        <f aca="true" t="shared" si="3" ref="M13:M21">SUM(K13:L13)</f>
        <v>29</v>
      </c>
      <c r="N13" s="163">
        <f aca="true" t="shared" si="4" ref="N13:N21">SUM(B13,E13,H13,K13)</f>
        <v>703</v>
      </c>
      <c r="O13" s="163">
        <f aca="true" t="shared" si="5" ref="O13:O21">SUM(C13,F13,I13,L13)</f>
        <v>1096</v>
      </c>
      <c r="P13" s="163">
        <f aca="true" t="shared" si="6" ref="P13:P21">SUM(D13,G13,J13,M13)</f>
        <v>1799</v>
      </c>
      <c r="Q13" s="162">
        <f>0</f>
        <v>0</v>
      </c>
      <c r="R13" s="163">
        <f>0</f>
        <v>0</v>
      </c>
      <c r="S13" s="163">
        <f aca="true" t="shared" si="7" ref="S13:S21">SUM(Q13:R13)</f>
        <v>0</v>
      </c>
    </row>
    <row r="14" spans="1:19" ht="12.75">
      <c r="A14" s="161" t="s">
        <v>16</v>
      </c>
      <c r="B14" s="162">
        <v>258</v>
      </c>
      <c r="C14" s="163">
        <v>148</v>
      </c>
      <c r="D14" s="164">
        <f t="shared" si="0"/>
        <v>406</v>
      </c>
      <c r="E14" s="165">
        <v>337</v>
      </c>
      <c r="F14" s="165">
        <v>432</v>
      </c>
      <c r="G14" s="165">
        <f t="shared" si="1"/>
        <v>769</v>
      </c>
      <c r="H14" s="162">
        <v>235</v>
      </c>
      <c r="I14" s="163">
        <v>441</v>
      </c>
      <c r="J14" s="164">
        <f t="shared" si="2"/>
        <v>676</v>
      </c>
      <c r="K14" s="163">
        <f>3+35</f>
        <v>38</v>
      </c>
      <c r="L14" s="163">
        <f>8+32</f>
        <v>40</v>
      </c>
      <c r="M14" s="164">
        <f t="shared" si="3"/>
        <v>78</v>
      </c>
      <c r="N14" s="165">
        <f t="shared" si="4"/>
        <v>868</v>
      </c>
      <c r="O14" s="165">
        <f t="shared" si="5"/>
        <v>1061</v>
      </c>
      <c r="P14" s="163">
        <f t="shared" si="6"/>
        <v>1929</v>
      </c>
      <c r="Q14" s="162">
        <f>0</f>
        <v>0</v>
      </c>
      <c r="R14" s="163">
        <v>2</v>
      </c>
      <c r="S14" s="163">
        <f t="shared" si="7"/>
        <v>2</v>
      </c>
    </row>
    <row r="15" spans="1:19" ht="12.75">
      <c r="A15" s="161" t="s">
        <v>17</v>
      </c>
      <c r="B15" s="162">
        <v>614</v>
      </c>
      <c r="C15" s="163">
        <v>292</v>
      </c>
      <c r="D15" s="164">
        <f t="shared" si="0"/>
        <v>906</v>
      </c>
      <c r="E15" s="165">
        <v>208</v>
      </c>
      <c r="F15" s="165">
        <v>220</v>
      </c>
      <c r="G15" s="165">
        <f t="shared" si="1"/>
        <v>428</v>
      </c>
      <c r="H15" s="162">
        <v>345</v>
      </c>
      <c r="I15" s="163">
        <v>572</v>
      </c>
      <c r="J15" s="164">
        <f t="shared" si="2"/>
        <v>917</v>
      </c>
      <c r="K15" s="163">
        <f>29+53</f>
        <v>82</v>
      </c>
      <c r="L15" s="163">
        <f>18+33</f>
        <v>51</v>
      </c>
      <c r="M15" s="164">
        <f t="shared" si="3"/>
        <v>133</v>
      </c>
      <c r="N15" s="165">
        <f t="shared" si="4"/>
        <v>1249</v>
      </c>
      <c r="O15" s="165">
        <f t="shared" si="5"/>
        <v>1135</v>
      </c>
      <c r="P15" s="163">
        <f t="shared" si="6"/>
        <v>2384</v>
      </c>
      <c r="Q15" s="162">
        <f>7+1</f>
        <v>8</v>
      </c>
      <c r="R15" s="163">
        <f>2+1</f>
        <v>3</v>
      </c>
      <c r="S15" s="163">
        <f t="shared" si="7"/>
        <v>11</v>
      </c>
    </row>
    <row r="16" spans="1:19" ht="12.75">
      <c r="A16" s="161" t="s">
        <v>18</v>
      </c>
      <c r="B16" s="162">
        <v>645</v>
      </c>
      <c r="C16" s="163">
        <v>296</v>
      </c>
      <c r="D16" s="164">
        <f t="shared" si="0"/>
        <v>941</v>
      </c>
      <c r="E16" s="165">
        <v>110</v>
      </c>
      <c r="F16" s="165">
        <v>135</v>
      </c>
      <c r="G16" s="165">
        <f t="shared" si="1"/>
        <v>245</v>
      </c>
      <c r="H16" s="162">
        <v>342</v>
      </c>
      <c r="I16" s="163">
        <v>515</v>
      </c>
      <c r="J16" s="164">
        <f t="shared" si="2"/>
        <v>857</v>
      </c>
      <c r="K16" s="163">
        <f>18+45</f>
        <v>63</v>
      </c>
      <c r="L16" s="163">
        <f>20+27</f>
        <v>47</v>
      </c>
      <c r="M16" s="164">
        <f t="shared" si="3"/>
        <v>110</v>
      </c>
      <c r="N16" s="165">
        <f t="shared" si="4"/>
        <v>1160</v>
      </c>
      <c r="O16" s="165">
        <f t="shared" si="5"/>
        <v>993</v>
      </c>
      <c r="P16" s="163">
        <f t="shared" si="6"/>
        <v>2153</v>
      </c>
      <c r="Q16" s="162">
        <f>12+3+1+3+1</f>
        <v>20</v>
      </c>
      <c r="R16" s="163">
        <f>17+3+1+1</f>
        <v>22</v>
      </c>
      <c r="S16" s="163">
        <f t="shared" si="7"/>
        <v>42</v>
      </c>
    </row>
    <row r="17" spans="1:19" ht="12.75">
      <c r="A17" s="161" t="s">
        <v>19</v>
      </c>
      <c r="B17" s="162">
        <v>595</v>
      </c>
      <c r="C17" s="163">
        <v>271</v>
      </c>
      <c r="D17" s="164">
        <f t="shared" si="0"/>
        <v>866</v>
      </c>
      <c r="E17" s="165">
        <v>87</v>
      </c>
      <c r="F17" s="165">
        <v>68</v>
      </c>
      <c r="G17" s="165">
        <f t="shared" si="1"/>
        <v>155</v>
      </c>
      <c r="H17" s="162">
        <v>337</v>
      </c>
      <c r="I17" s="163">
        <v>525</v>
      </c>
      <c r="J17" s="164">
        <f t="shared" si="2"/>
        <v>862</v>
      </c>
      <c r="K17" s="163">
        <f>45+35</f>
        <v>80</v>
      </c>
      <c r="L17" s="163">
        <f>19+28</f>
        <v>47</v>
      </c>
      <c r="M17" s="164">
        <f t="shared" si="3"/>
        <v>127</v>
      </c>
      <c r="N17" s="165">
        <f t="shared" si="4"/>
        <v>1099</v>
      </c>
      <c r="O17" s="165">
        <f t="shared" si="5"/>
        <v>911</v>
      </c>
      <c r="P17" s="163">
        <f t="shared" si="6"/>
        <v>2010</v>
      </c>
      <c r="Q17" s="162">
        <f>21+4+6+2</f>
        <v>33</v>
      </c>
      <c r="R17" s="163">
        <f>15+2+3+1</f>
        <v>21</v>
      </c>
      <c r="S17" s="163">
        <f t="shared" si="7"/>
        <v>54</v>
      </c>
    </row>
    <row r="18" spans="1:19" ht="12.75">
      <c r="A18" s="161" t="s">
        <v>20</v>
      </c>
      <c r="B18" s="162">
        <v>658</v>
      </c>
      <c r="C18" s="163">
        <v>207</v>
      </c>
      <c r="D18" s="164">
        <f t="shared" si="0"/>
        <v>865</v>
      </c>
      <c r="E18" s="165">
        <v>74</v>
      </c>
      <c r="F18" s="165">
        <v>64</v>
      </c>
      <c r="G18" s="165">
        <f t="shared" si="1"/>
        <v>138</v>
      </c>
      <c r="H18" s="162">
        <v>349</v>
      </c>
      <c r="I18" s="163">
        <v>507</v>
      </c>
      <c r="J18" s="164">
        <f t="shared" si="2"/>
        <v>856</v>
      </c>
      <c r="K18" s="163">
        <f>41+82</f>
        <v>123</v>
      </c>
      <c r="L18" s="163">
        <f>22+57</f>
        <v>79</v>
      </c>
      <c r="M18" s="164">
        <f t="shared" si="3"/>
        <v>202</v>
      </c>
      <c r="N18" s="165">
        <f t="shared" si="4"/>
        <v>1204</v>
      </c>
      <c r="O18" s="165">
        <f t="shared" si="5"/>
        <v>857</v>
      </c>
      <c r="P18" s="163">
        <f t="shared" si="6"/>
        <v>2061</v>
      </c>
      <c r="Q18" s="162">
        <f>22+6+2+1+1+2</f>
        <v>34</v>
      </c>
      <c r="R18" s="163">
        <f>15+5+3</f>
        <v>23</v>
      </c>
      <c r="S18" s="163">
        <f t="shared" si="7"/>
        <v>57</v>
      </c>
    </row>
    <row r="19" spans="1:19" ht="12.75">
      <c r="A19" s="161" t="s">
        <v>21</v>
      </c>
      <c r="B19" s="162">
        <v>680</v>
      </c>
      <c r="C19" s="163">
        <v>149</v>
      </c>
      <c r="D19" s="164">
        <f t="shared" si="0"/>
        <v>829</v>
      </c>
      <c r="E19" s="165">
        <v>51</v>
      </c>
      <c r="F19" s="165">
        <v>43</v>
      </c>
      <c r="G19" s="165">
        <f t="shared" si="1"/>
        <v>94</v>
      </c>
      <c r="H19" s="162">
        <v>298</v>
      </c>
      <c r="I19" s="163">
        <v>408</v>
      </c>
      <c r="J19" s="164">
        <f t="shared" si="2"/>
        <v>706</v>
      </c>
      <c r="K19" s="163">
        <f>83+142</f>
        <v>225</v>
      </c>
      <c r="L19" s="163">
        <f>35+49</f>
        <v>84</v>
      </c>
      <c r="M19" s="164">
        <f t="shared" si="3"/>
        <v>309</v>
      </c>
      <c r="N19" s="165">
        <f t="shared" si="4"/>
        <v>1254</v>
      </c>
      <c r="O19" s="165">
        <f t="shared" si="5"/>
        <v>684</v>
      </c>
      <c r="P19" s="163">
        <f t="shared" si="6"/>
        <v>1938</v>
      </c>
      <c r="Q19" s="162">
        <f>10+9+2+5+4+1</f>
        <v>31</v>
      </c>
      <c r="R19" s="163">
        <f>7+1+2+2+1</f>
        <v>13</v>
      </c>
      <c r="S19" s="163">
        <f t="shared" si="7"/>
        <v>44</v>
      </c>
    </row>
    <row r="20" spans="1:19" ht="12.75">
      <c r="A20" s="161" t="s">
        <v>59</v>
      </c>
      <c r="B20" s="162">
        <v>524</v>
      </c>
      <c r="C20" s="163">
        <v>78</v>
      </c>
      <c r="D20" s="164">
        <f t="shared" si="0"/>
        <v>602</v>
      </c>
      <c r="E20" s="165">
        <v>47</v>
      </c>
      <c r="F20" s="165">
        <v>14</v>
      </c>
      <c r="G20" s="165">
        <f t="shared" si="1"/>
        <v>61</v>
      </c>
      <c r="H20" s="162">
        <v>147</v>
      </c>
      <c r="I20" s="163">
        <v>182</v>
      </c>
      <c r="J20" s="164">
        <f t="shared" si="2"/>
        <v>329</v>
      </c>
      <c r="K20" s="163">
        <f>45+32</f>
        <v>77</v>
      </c>
      <c r="L20" s="163">
        <f>13+21</f>
        <v>34</v>
      </c>
      <c r="M20" s="164">
        <f t="shared" si="3"/>
        <v>111</v>
      </c>
      <c r="N20" s="165">
        <f t="shared" si="4"/>
        <v>795</v>
      </c>
      <c r="O20" s="165">
        <f t="shared" si="5"/>
        <v>308</v>
      </c>
      <c r="P20" s="163">
        <f t="shared" si="6"/>
        <v>1103</v>
      </c>
      <c r="Q20" s="162">
        <f>8+5+2+2+1+1</f>
        <v>19</v>
      </c>
      <c r="R20" s="163">
        <f>1+3</f>
        <v>4</v>
      </c>
      <c r="S20" s="163">
        <f t="shared" si="7"/>
        <v>23</v>
      </c>
    </row>
    <row r="21" spans="1:19" ht="12.75">
      <c r="A21" s="161" t="s">
        <v>60</v>
      </c>
      <c r="B21" s="162">
        <v>80</v>
      </c>
      <c r="C21" s="163">
        <v>11</v>
      </c>
      <c r="D21" s="164">
        <f t="shared" si="0"/>
        <v>91</v>
      </c>
      <c r="E21" s="165">
        <v>6</v>
      </c>
      <c r="F21" s="165">
        <v>2</v>
      </c>
      <c r="G21" s="165">
        <f t="shared" si="1"/>
        <v>8</v>
      </c>
      <c r="H21" s="162">
        <v>4</v>
      </c>
      <c r="I21" s="163">
        <v>2</v>
      </c>
      <c r="J21" s="164">
        <f t="shared" si="2"/>
        <v>6</v>
      </c>
      <c r="K21" s="163">
        <f>2+2</f>
        <v>4</v>
      </c>
      <c r="L21" s="163">
        <f>0+1</f>
        <v>1</v>
      </c>
      <c r="M21" s="164">
        <f t="shared" si="3"/>
        <v>5</v>
      </c>
      <c r="N21" s="165">
        <f t="shared" si="4"/>
        <v>94</v>
      </c>
      <c r="O21" s="165">
        <f t="shared" si="5"/>
        <v>16</v>
      </c>
      <c r="P21" s="163">
        <f t="shared" si="6"/>
        <v>110</v>
      </c>
      <c r="Q21" s="162">
        <f>0+1+1</f>
        <v>2</v>
      </c>
      <c r="R21" s="163">
        <v>1</v>
      </c>
      <c r="S21" s="163">
        <f t="shared" si="7"/>
        <v>3</v>
      </c>
    </row>
    <row r="22" spans="1:19" s="170" customFormat="1" ht="12.75">
      <c r="A22" s="166" t="s">
        <v>4</v>
      </c>
      <c r="B22" s="167">
        <f aca="true" t="shared" si="8" ref="B22:S22">SUM(B13:B21)</f>
        <v>4077</v>
      </c>
      <c r="C22" s="168">
        <f t="shared" si="8"/>
        <v>1472</v>
      </c>
      <c r="D22" s="169">
        <f t="shared" si="8"/>
        <v>5549</v>
      </c>
      <c r="E22" s="168">
        <f t="shared" si="8"/>
        <v>1469</v>
      </c>
      <c r="F22" s="168">
        <f t="shared" si="8"/>
        <v>1759</v>
      </c>
      <c r="G22" s="168">
        <f t="shared" si="8"/>
        <v>3228</v>
      </c>
      <c r="H22" s="167">
        <f t="shared" si="8"/>
        <v>2172</v>
      </c>
      <c r="I22" s="168">
        <f t="shared" si="8"/>
        <v>3434</v>
      </c>
      <c r="J22" s="169">
        <f t="shared" si="8"/>
        <v>5606</v>
      </c>
      <c r="K22" s="168">
        <f t="shared" si="8"/>
        <v>708</v>
      </c>
      <c r="L22" s="168">
        <f t="shared" si="8"/>
        <v>396</v>
      </c>
      <c r="M22" s="169">
        <f t="shared" si="8"/>
        <v>1104</v>
      </c>
      <c r="N22" s="168">
        <f t="shared" si="8"/>
        <v>8426</v>
      </c>
      <c r="O22" s="168">
        <f t="shared" si="8"/>
        <v>7061</v>
      </c>
      <c r="P22" s="168">
        <f t="shared" si="8"/>
        <v>15487</v>
      </c>
      <c r="Q22" s="167">
        <f t="shared" si="8"/>
        <v>147</v>
      </c>
      <c r="R22" s="168">
        <f t="shared" si="8"/>
        <v>89</v>
      </c>
      <c r="S22" s="168">
        <f t="shared" si="8"/>
        <v>236</v>
      </c>
    </row>
    <row r="24" spans="1:33" s="137" customFormat="1" ht="12.75">
      <c r="A24" s="137" t="s">
        <v>61</v>
      </c>
      <c r="T24" s="170"/>
      <c r="U24" s="170"/>
      <c r="V24" s="170"/>
      <c r="W24" s="170"/>
      <c r="X24" s="170"/>
      <c r="Y24" s="170"/>
      <c r="Z24" s="170"/>
      <c r="AA24" s="170"/>
      <c r="AB24" s="170"/>
      <c r="AC24" s="170"/>
      <c r="AD24" s="170"/>
      <c r="AE24" s="170"/>
      <c r="AF24" s="170"/>
      <c r="AG24" s="170"/>
    </row>
    <row r="25" ht="12.75">
      <c r="A25" s="139" t="s">
        <v>76</v>
      </c>
    </row>
    <row r="26" ht="12.75">
      <c r="A26" s="139" t="s">
        <v>78</v>
      </c>
    </row>
    <row r="27" ht="12.75">
      <c r="A27" s="139" t="s">
        <v>79</v>
      </c>
    </row>
    <row r="29" ht="12.75">
      <c r="A29" s="171" t="s">
        <v>47</v>
      </c>
    </row>
  </sheetData>
  <sheetProtection/>
  <mergeCells count="4">
    <mergeCell ref="H8:J9"/>
    <mergeCell ref="A6:S6"/>
    <mergeCell ref="A4:S4"/>
    <mergeCell ref="A2:S2"/>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2015-01-23T14:37:30Z</cp:lastPrinted>
  <dcterms:created xsi:type="dcterms:W3CDTF">1999-11-09T10:41:36Z</dcterms:created>
  <dcterms:modified xsi:type="dcterms:W3CDTF">2017-01-23T10:10:00Z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0x0101003469F0671AEE1641A22D649C188EA117</vt:lpwstr>
  </property>
</Properties>
</file>