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316" tabRatio="681" activeTab="0"/>
  </bookViews>
  <sheets>
    <sheet name="INHOUD" sheetId="1" r:id="rId1"/>
    <sheet name="16PSEC01" sheetId="2" r:id="rId2"/>
    <sheet name="16PSEC02" sheetId="3" r:id="rId3"/>
    <sheet name="16PSEC03" sheetId="4" r:id="rId4"/>
    <sheet name="16PSEC04" sheetId="5" r:id="rId5"/>
    <sheet name="16PSEC05" sheetId="6" r:id="rId6"/>
    <sheet name="16PSEC06" sheetId="7" r:id="rId7"/>
    <sheet name="16PSEC07" sheetId="8" r:id="rId8"/>
    <sheet name="16PSEC08" sheetId="9" r:id="rId9"/>
    <sheet name="16PSEC09" sheetId="10" r:id="rId10"/>
  </sheets>
  <definedNames>
    <definedName name="_xlnm.Print_Area" localSheetId="1">'16PSEC01'!$A$1:$P$27</definedName>
    <definedName name="_xlnm.Print_Area" localSheetId="2">'16PSEC02'!$A$1:$J$35</definedName>
    <definedName name="_xlnm.Print_Area" localSheetId="4">'16PSEC04'!$A$1:$J$34</definedName>
  </definedNames>
  <calcPr fullCalcOnLoad="1"/>
</workbook>
</file>

<file path=xl/sharedStrings.xml><?xml version="1.0" encoding="utf-8"?>
<sst xmlns="http://schemas.openxmlformats.org/spreadsheetml/2006/main" count="707" uniqueCount="75">
  <si>
    <t xml:space="preserve"> </t>
  </si>
  <si>
    <t>BESTUURS- EN ONDERWIJZEND PERSONEEL NAAR STATUUT EN GESLACHT</t>
  </si>
  <si>
    <t>SECUNDAIR ONDERWIJS</t>
  </si>
  <si>
    <t>Vastbenoemden</t>
  </si>
  <si>
    <t>Tijdelijken</t>
  </si>
  <si>
    <t>Totaal</t>
  </si>
  <si>
    <t>Mannen</t>
  </si>
  <si>
    <t>Vrouwen</t>
  </si>
  <si>
    <t>Gewoon secundair onderwijs</t>
  </si>
  <si>
    <t>Privaatrechtelijk</t>
  </si>
  <si>
    <t>Provincie</t>
  </si>
  <si>
    <t>Gemeente</t>
  </si>
  <si>
    <t>Buitengewoon secundair onderwijs</t>
  </si>
  <si>
    <t>Totaal secundair onderwijs</t>
  </si>
  <si>
    <t>BESTUURS- EN ONDERWIJZEND PERSONEEL NAAR OPLEIDINGSNIVEAU EN GESLACHT</t>
  </si>
  <si>
    <t>ANDERE PERSONEELSCATEGORIEËN NAAR STATUUT EN GESLACHT</t>
  </si>
  <si>
    <t>,</t>
  </si>
  <si>
    <t>BESTUURS- EN ONDERWIJZEND PERSONEEL NAAR LEEFTIJD, STATUUT EN GESLACHT</t>
  </si>
  <si>
    <t xml:space="preserve">GEWOON SECUNDAIR ONDERWIJS 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</si>
  <si>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</si>
  <si>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</si>
  <si>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</si>
  <si>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</si>
  <si>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</si>
  <si>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</si>
  <si>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</si>
  <si>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</si>
  <si>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</si>
  <si>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</si>
  <si>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SECUNDAIR ONDERWIJS 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</si>
  <si>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</si>
  <si>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</si>
  <si>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</si>
  <si>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</si>
  <si>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</si>
  <si>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</si>
  <si>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heeft doorgemaakt.</t>
  </si>
  <si>
    <t>de artsen, de apothekers, de licentiaten, de architecten, de priesters en de meestergraden ongeacht of ze een bekwaamheidsbewijs voor het ambt</t>
  </si>
  <si>
    <t>van leraar, zoals een aggregaat, hebben.</t>
  </si>
  <si>
    <t>Officiële benaming 'ten minste HOLT' :  ten minste Hoger Onderwijs van het Lange Type : deze omvatten o.a. de doctors, de ingenieurs,</t>
  </si>
  <si>
    <t>(2) Professionele bachelor voor het onderwijs of geaggregeerde voor het secundair onderwijs - groep 1 en alle wijzigingen in benaming die deze opleiding</t>
  </si>
  <si>
    <t>Professionele bachelors voor het onderwijs (1)(2)</t>
  </si>
  <si>
    <t xml:space="preserve">Ten minste master (1)(3) </t>
  </si>
  <si>
    <t>Andere (1)(4)</t>
  </si>
  <si>
    <t>(1) De indeling tussen 'professionele bachelors voor het onderwijs' en 'ten minste master' is gebaseerd op de diploma's die de betrokkenen hebben.</t>
  </si>
  <si>
    <t>(3) Ten minste master of ten minste HOLT.</t>
  </si>
  <si>
    <t>GEWOON SECUNDAIR ONDERWIJS</t>
  </si>
  <si>
    <t>Budgettaire fulltime-equivalenten</t>
  </si>
  <si>
    <t>Aantal personen</t>
  </si>
  <si>
    <t>PERSONEEL SECUNDAIR ONDERWIJS</t>
  </si>
  <si>
    <t>Bestuurs- en onderwijzend personeel naar statuut en geslacht</t>
  </si>
  <si>
    <t>Bestuurs- en onderwijzend personeel naar opleidingsniveau en geslacht - gewoon secundair onderwijs</t>
  </si>
  <si>
    <t>Andere personeelscategorieën naar statuut en geslacht</t>
  </si>
  <si>
    <t>Bestuurs- en onderwijzend personeel naar leeftijd, statuut en geslacht - gewoon secundair onderwijs</t>
  </si>
  <si>
    <t>Bestuurs- en onderwijzend personeel naar leeftijd, statuut en geslacht - buitengewoon secundair onderwijs</t>
  </si>
  <si>
    <t>Andere personeelscategorieën naar leeftijd, statuut en geslacht - gewoon secundair onderwijs</t>
  </si>
  <si>
    <t>Andere personeelscategorieën naar leeftijd, statuut en geslacht - buitengewoon secundair onderwijs</t>
  </si>
  <si>
    <t>Alle soorten schoolbestuur</t>
  </si>
  <si>
    <t>(4) De categorie 'andere' omvat de personeelsleden met een diploma professionele bachelor of Hoger Onderwijs van het Korte Type dat niet</t>
  </si>
  <si>
    <t xml:space="preserve"> 'prof. bachelor vr het onderwijs' is of een lager diploma dan professionele bachelor of Hoger Onderwijs van het Korte Type.</t>
  </si>
  <si>
    <t>Schooljaar 2016-2017</t>
  </si>
  <si>
    <t xml:space="preserve">Aantal budgettaire fulltime-equivalenten (inclusief alle vervangingen, TBS+ en Bonus) - januari 2017 </t>
  </si>
  <si>
    <t xml:space="preserve">Aantal budgettaire fulltime-equivalenten (inclusief alle vervangingen, TBS+ en Bonus) -  januari 2017 </t>
  </si>
  <si>
    <t>Aantal personen (inclusief alle vervangingen, TBS+ en Bonus) - januari 2017</t>
  </si>
  <si>
    <t>Aantal personen  (inclusief alle vervangingen, TBS+ en Bonus) -  januari 2017</t>
  </si>
  <si>
    <t>Aantal personen (inclusief alle vervangingen, TBS+ en Bonus) -  januari 2017</t>
  </si>
  <si>
    <t>16PSEC01</t>
  </si>
  <si>
    <t>16PSEC02</t>
  </si>
  <si>
    <t>16PSEC03</t>
  </si>
  <si>
    <t>16PSEC04</t>
  </si>
  <si>
    <t>16PSEC05</t>
  </si>
  <si>
    <t>16PSEC06</t>
  </si>
  <si>
    <t>16PSEC07</t>
  </si>
  <si>
    <t>16PSEC08</t>
  </si>
  <si>
    <t>16PSEC09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</si>
</sst>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0" xfId="54" applyNumberFormat="1" applyFont="1" applyBorder="1">
      <alignment/>
      <protection/>
    </xf>
    <xf numFmtId="3" fontId="2" fillId="0" borderId="0" xfId="54" applyNumberFormat="1" applyFont="1">
      <alignment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3" fillId="0" borderId="0" xfId="54" applyNumberFormat="1" applyFont="1">
      <alignment/>
      <protection/>
    </xf>
    <xf numFmtId="3" fontId="3" fillId="0" borderId="10" xfId="54" applyNumberFormat="1" applyFont="1" applyBorder="1">
      <alignment/>
      <protection/>
    </xf>
    <xf numFmtId="3" fontId="3" fillId="0" borderId="11" xfId="54" applyNumberFormat="1" applyFont="1" applyBorder="1">
      <alignment/>
      <protection/>
    </xf>
    <xf numFmtId="3" fontId="3" fillId="0" borderId="12" xfId="54" applyNumberFormat="1" applyFont="1" applyBorder="1" applyAlignment="1">
      <alignment horizontal="center"/>
      <protection/>
    </xf>
    <xf numFmtId="3" fontId="3" fillId="0" borderId="12" xfId="54" applyNumberFormat="1" applyFont="1" applyBorder="1">
      <alignment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4" xfId="54" applyNumberFormat="1" applyFont="1" applyBorder="1">
      <alignment/>
      <protection/>
    </xf>
    <xf numFmtId="164" fontId="3" fillId="0" borderId="14" xfId="54" applyNumberFormat="1" applyFont="1" applyBorder="1" applyAlignment="1">
      <alignment horizontal="right"/>
      <protection/>
    </xf>
    <xf numFmtId="164" fontId="3" fillId="0" borderId="0" xfId="54" applyNumberFormat="1" applyFont="1">
      <alignment/>
      <protection/>
    </xf>
    <xf numFmtId="164" fontId="3" fillId="0" borderId="14" xfId="54" applyNumberFormat="1" applyFont="1" applyBorder="1">
      <alignment/>
      <protection/>
    </xf>
    <xf numFmtId="164" fontId="3" fillId="0" borderId="0" xfId="54" applyNumberFormat="1" applyFont="1" applyAlignment="1">
      <alignment horizontal="right"/>
      <protection/>
    </xf>
    <xf numFmtId="164" fontId="3" fillId="0" borderId="0" xfId="54" applyNumberFormat="1" applyFont="1" applyBorder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0" fontId="3" fillId="0" borderId="0" xfId="54">
      <alignment/>
      <protection/>
    </xf>
    <xf numFmtId="0" fontId="2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64" fontId="3" fillId="0" borderId="1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centerContinuous"/>
      <protection/>
    </xf>
    <xf numFmtId="164" fontId="2" fillId="0" borderId="0" xfId="55" applyNumberFormat="1" applyFont="1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164" fontId="3" fillId="0" borderId="17" xfId="55" applyNumberFormat="1" applyFont="1" applyBorder="1" applyAlignment="1">
      <alignment horizontal="centerContinuous"/>
      <protection/>
    </xf>
    <xf numFmtId="164" fontId="3" fillId="0" borderId="10" xfId="55" applyNumberFormat="1" applyFont="1" applyBorder="1" applyAlignment="1">
      <alignment horizontal="centerContinuous"/>
      <protection/>
    </xf>
    <xf numFmtId="164" fontId="3" fillId="0" borderId="18" xfId="55" applyNumberFormat="1" applyFont="1" applyBorder="1" applyAlignment="1">
      <alignment horizontal="centerContinuous"/>
      <protection/>
    </xf>
    <xf numFmtId="164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 applyAlignment="1">
      <alignment horizontal="right"/>
      <protection/>
    </xf>
    <xf numFmtId="164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164" fontId="3" fillId="0" borderId="13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Continuous"/>
      <protection/>
    </xf>
    <xf numFmtId="164" fontId="2" fillId="0" borderId="0" xfId="56" applyNumberFormat="1" applyFont="1" applyAlignment="1">
      <alignment horizontal="centerContinuous"/>
      <protection/>
    </xf>
    <xf numFmtId="0" fontId="3" fillId="0" borderId="0" xfId="56">
      <alignment/>
      <protection/>
    </xf>
    <xf numFmtId="3" fontId="3" fillId="0" borderId="10" xfId="56" applyNumberFormat="1" applyFont="1" applyBorder="1" applyAlignment="1">
      <alignment horizontal="center"/>
      <protection/>
    </xf>
    <xf numFmtId="164" fontId="3" fillId="0" borderId="17" xfId="56" applyNumberFormat="1" applyFont="1" applyBorder="1" applyAlignment="1">
      <alignment horizontal="centerContinuous"/>
      <protection/>
    </xf>
    <xf numFmtId="164" fontId="3" fillId="0" borderId="10" xfId="56" applyNumberFormat="1" applyFont="1" applyBorder="1" applyAlignment="1">
      <alignment horizontal="centerContinuous"/>
      <protection/>
    </xf>
    <xf numFmtId="164" fontId="3" fillId="0" borderId="18" xfId="56" applyNumberFormat="1" applyFont="1" applyBorder="1" applyAlignment="1">
      <alignment horizontal="centerContinuous"/>
      <protection/>
    </xf>
    <xf numFmtId="164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164" fontId="3" fillId="0" borderId="13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"/>
      <protection/>
    </xf>
    <xf numFmtId="3" fontId="3" fillId="0" borderId="13" xfId="57" applyNumberFormat="1" applyFont="1" applyBorder="1">
      <alignment/>
      <protection/>
    </xf>
    <xf numFmtId="3" fontId="3" fillId="0" borderId="0" xfId="57" applyNumberFormat="1" applyFont="1" applyBorder="1">
      <alignment/>
      <protection/>
    </xf>
    <xf numFmtId="3" fontId="3" fillId="0" borderId="14" xfId="57" applyNumberFormat="1" applyFont="1" applyBorder="1" applyAlignment="1">
      <alignment horizontal="right"/>
      <protection/>
    </xf>
    <xf numFmtId="3" fontId="3" fillId="0" borderId="0" xfId="57" applyNumberFormat="1" applyFont="1" applyAlignment="1">
      <alignment horizontal="right"/>
      <protection/>
    </xf>
    <xf numFmtId="3" fontId="3" fillId="0" borderId="0" xfId="57" applyNumberFormat="1" applyFont="1" applyBorder="1" applyAlignment="1">
      <alignment horizontal="right"/>
      <protection/>
    </xf>
    <xf numFmtId="3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0" fontId="3" fillId="0" borderId="0" xfId="57">
      <alignment/>
      <protection/>
    </xf>
    <xf numFmtId="3" fontId="3" fillId="0" borderId="0" xfId="58" applyNumberFormat="1" applyFont="1">
      <alignment/>
      <protection/>
    </xf>
    <xf numFmtId="0" fontId="3" fillId="0" borderId="0" xfId="58">
      <alignment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>
      <alignment/>
      <protection/>
    </xf>
    <xf numFmtId="164" fontId="3" fillId="0" borderId="0" xfId="58" applyNumberFormat="1" applyFont="1">
      <alignment/>
      <protection/>
    </xf>
    <xf numFmtId="164" fontId="3" fillId="0" borderId="0" xfId="58" applyNumberFormat="1" applyFont="1" applyAlignment="1">
      <alignment horizontal="centerContinuous"/>
      <protection/>
    </xf>
    <xf numFmtId="164" fontId="2" fillId="0" borderId="0" xfId="58" applyNumberFormat="1" applyFont="1" applyAlignment="1">
      <alignment horizontal="centerContinuous"/>
      <protection/>
    </xf>
    <xf numFmtId="3" fontId="3" fillId="0" borderId="10" xfId="58" applyNumberFormat="1" applyFont="1" applyBorder="1" applyAlignment="1">
      <alignment horizontal="center"/>
      <protection/>
    </xf>
    <xf numFmtId="164" fontId="3" fillId="0" borderId="17" xfId="58" applyNumberFormat="1" applyFont="1" applyBorder="1" applyAlignment="1">
      <alignment horizontal="centerContinuous"/>
      <protection/>
    </xf>
    <xf numFmtId="164" fontId="3" fillId="0" borderId="10" xfId="58" applyNumberFormat="1" applyFont="1" applyBorder="1" applyAlignment="1">
      <alignment horizontal="centerContinuous"/>
      <protection/>
    </xf>
    <xf numFmtId="164" fontId="3" fillId="0" borderId="18" xfId="58" applyNumberFormat="1" applyFont="1" applyBorder="1" applyAlignment="1">
      <alignment horizontal="centerContinuous"/>
      <protection/>
    </xf>
    <xf numFmtId="164" fontId="3" fillId="0" borderId="19" xfId="58" applyNumberFormat="1" applyFont="1" applyBorder="1" applyAlignment="1">
      <alignment horizontal="centerContinuous"/>
      <protection/>
    </xf>
    <xf numFmtId="3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 applyAlignment="1">
      <alignment horizontal="right"/>
      <protection/>
    </xf>
    <xf numFmtId="164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>
      <alignment/>
      <protection/>
    </xf>
    <xf numFmtId="164" fontId="3" fillId="0" borderId="13" xfId="58" applyNumberFormat="1" applyFont="1" applyBorder="1">
      <alignment/>
      <protection/>
    </xf>
    <xf numFmtId="3" fontId="2" fillId="0" borderId="0" xfId="58" applyNumberFormat="1" applyFont="1" applyAlignment="1">
      <alignment horizontal="right"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3" fontId="3" fillId="0" borderId="0" xfId="59" applyNumberFormat="1" applyFont="1">
      <alignment/>
      <protection/>
    </xf>
    <xf numFmtId="0" fontId="3" fillId="0" borderId="0" xfId="59" applyFont="1">
      <alignment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164" fontId="3" fillId="0" borderId="0" xfId="59" applyNumberFormat="1" applyFont="1">
      <alignment/>
      <protection/>
    </xf>
    <xf numFmtId="164" fontId="3" fillId="0" borderId="0" xfId="59" applyNumberFormat="1" applyFont="1" applyAlignment="1">
      <alignment horizontal="centerContinuous"/>
      <protection/>
    </xf>
    <xf numFmtId="164" fontId="2" fillId="0" borderId="0" xfId="59" applyNumberFormat="1" applyFont="1" applyAlignment="1">
      <alignment horizontal="centerContinuous"/>
      <protection/>
    </xf>
    <xf numFmtId="0" fontId="3" fillId="0" borderId="0" xfId="59">
      <alignment/>
      <protection/>
    </xf>
    <xf numFmtId="3" fontId="3" fillId="0" borderId="10" xfId="59" applyNumberFormat="1" applyFont="1" applyBorder="1" applyAlignment="1">
      <alignment horizontal="center"/>
      <protection/>
    </xf>
    <xf numFmtId="164" fontId="3" fillId="0" borderId="17" xfId="59" applyNumberFormat="1" applyFont="1" applyBorder="1" applyAlignment="1">
      <alignment horizontal="centerContinuous"/>
      <protection/>
    </xf>
    <xf numFmtId="164" fontId="3" fillId="0" borderId="10" xfId="59" applyNumberFormat="1" applyFont="1" applyBorder="1" applyAlignment="1">
      <alignment horizontal="centerContinuous"/>
      <protection/>
    </xf>
    <xf numFmtId="164" fontId="3" fillId="0" borderId="18" xfId="59" applyNumberFormat="1" applyFont="1" applyBorder="1" applyAlignment="1">
      <alignment horizontal="centerContinuous"/>
      <protection/>
    </xf>
    <xf numFmtId="164" fontId="3" fillId="0" borderId="19" xfId="59" applyNumberFormat="1" applyFont="1" applyBorder="1" applyAlignment="1">
      <alignment horizontal="centerContinuous"/>
      <protection/>
    </xf>
    <xf numFmtId="3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 applyAlignment="1">
      <alignment horizontal="right"/>
      <protection/>
    </xf>
    <xf numFmtId="164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164" fontId="3" fillId="0" borderId="13" xfId="59" applyNumberFormat="1" applyFont="1" applyBorder="1">
      <alignment/>
      <protection/>
    </xf>
    <xf numFmtId="3" fontId="2" fillId="0" borderId="0" xfId="59" applyNumberFormat="1" applyFont="1" applyAlignment="1">
      <alignment horizontal="right"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164" fontId="3" fillId="0" borderId="14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164" fontId="3" fillId="0" borderId="14" xfId="57" applyNumberFormat="1" applyFont="1" applyBorder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20" xfId="54" applyNumberFormat="1" applyFont="1" applyBorder="1" applyAlignment="1">
      <alignment horizontal="center"/>
      <protection/>
    </xf>
    <xf numFmtId="3" fontId="3" fillId="0" borderId="13" xfId="54" applyNumberFormat="1" applyFont="1" applyBorder="1" applyAlignment="1">
      <alignment horizontal="center"/>
      <protection/>
    </xf>
    <xf numFmtId="164" fontId="3" fillId="0" borderId="19" xfId="0" applyNumberFormat="1" applyFont="1" applyBorder="1" applyAlignment="1">
      <alignment horizontal="center"/>
    </xf>
    <xf numFmtId="3" fontId="3" fillId="0" borderId="19" xfId="57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0" xfId="54" applyNumberFormat="1" applyFont="1" applyBorder="1">
      <alignment/>
      <protection/>
    </xf>
    <xf numFmtId="3" fontId="3" fillId="0" borderId="16" xfId="54" applyNumberFormat="1" applyFont="1" applyBorder="1">
      <alignment/>
      <protection/>
    </xf>
    <xf numFmtId="164" fontId="3" fillId="0" borderId="15" xfId="54" applyNumberFormat="1" applyFont="1" applyBorder="1">
      <alignment/>
      <protection/>
    </xf>
    <xf numFmtId="164" fontId="3" fillId="0" borderId="16" xfId="54" applyNumberFormat="1" applyFont="1" applyBorder="1">
      <alignment/>
      <protection/>
    </xf>
    <xf numFmtId="3" fontId="2" fillId="0" borderId="0" xfId="57" applyNumberFormat="1" applyFont="1" applyBorder="1">
      <alignment/>
      <protection/>
    </xf>
    <xf numFmtId="3" fontId="3" fillId="0" borderId="16" xfId="57" applyNumberFormat="1" applyFont="1" applyBorder="1">
      <alignment/>
      <protection/>
    </xf>
    <xf numFmtId="3" fontId="3" fillId="0" borderId="15" xfId="57" applyNumberFormat="1" applyFont="1" applyBorder="1">
      <alignment/>
      <protection/>
    </xf>
    <xf numFmtId="164" fontId="3" fillId="0" borderId="18" xfId="0" applyNumberFormat="1" applyFont="1" applyBorder="1" applyAlignment="1">
      <alignment horizontal="center"/>
    </xf>
    <xf numFmtId="3" fontId="3" fillId="0" borderId="18" xfId="57" applyNumberFormat="1" applyFont="1" applyBorder="1" applyAlignment="1">
      <alignment horizontal="center"/>
      <protection/>
    </xf>
    <xf numFmtId="3" fontId="3" fillId="0" borderId="13" xfId="58" applyNumberFormat="1" applyFont="1" applyBorder="1" applyAlignment="1">
      <alignment horizontal="left"/>
      <protection/>
    </xf>
    <xf numFmtId="3" fontId="3" fillId="0" borderId="13" xfId="55" applyNumberFormat="1" applyFont="1" applyBorder="1" applyAlignment="1">
      <alignment horizontal="left"/>
      <protection/>
    </xf>
    <xf numFmtId="3" fontId="3" fillId="0" borderId="13" xfId="56" applyNumberFormat="1" applyFont="1" applyBorder="1" applyAlignment="1">
      <alignment horizontal="left"/>
      <protection/>
    </xf>
    <xf numFmtId="3" fontId="3" fillId="0" borderId="10" xfId="56" applyNumberFormat="1" applyFont="1" applyBorder="1" applyAlignment="1">
      <alignment horizontal="left"/>
      <protection/>
    </xf>
    <xf numFmtId="3" fontId="3" fillId="0" borderId="13" xfId="59" applyNumberFormat="1" applyFont="1" applyBorder="1" applyAlignment="1">
      <alignment horizontal="left"/>
      <protection/>
    </xf>
    <xf numFmtId="3" fontId="3" fillId="0" borderId="0" xfId="0" applyNumberFormat="1" applyFont="1" applyFill="1" applyAlignment="1">
      <alignment/>
    </xf>
    <xf numFmtId="0" fontId="3" fillId="0" borderId="0" xfId="61" applyFont="1" applyAlignment="1">
      <alignment/>
    </xf>
    <xf numFmtId="1" fontId="3" fillId="0" borderId="0" xfId="53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61" applyFont="1" applyFill="1" applyAlignment="1">
      <alignment/>
    </xf>
    <xf numFmtId="3" fontId="3" fillId="0" borderId="0" xfId="54" applyNumberFormat="1" applyFont="1" applyFill="1">
      <alignment/>
      <protection/>
    </xf>
    <xf numFmtId="3" fontId="7" fillId="0" borderId="0" xfId="60" applyNumberFormat="1" applyFont="1" applyFill="1" applyBorder="1" applyAlignment="1">
      <alignment horizontal="left"/>
      <protection/>
    </xf>
    <xf numFmtId="0" fontId="7" fillId="0" borderId="0" xfId="61" applyFont="1" applyFill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7" xfId="0" applyNumberFormat="1" applyFont="1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22" xfId="0" applyBorder="1" applyAlignment="1">
      <alignment horizontal="center" vertical="top" wrapText="1" shrinkToFit="1"/>
    </xf>
    <xf numFmtId="3" fontId="3" fillId="0" borderId="17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center" vertical="top"/>
    </xf>
    <xf numFmtId="3" fontId="3" fillId="0" borderId="20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SEC02" xfId="54"/>
    <cellStyle name="Standaard_96PSEC04" xfId="55"/>
    <cellStyle name="Standaard_96PSEC05" xfId="56"/>
    <cellStyle name="Standaard_96PSEC06" xfId="57"/>
    <cellStyle name="Standaard_96PSEC07" xfId="58"/>
    <cellStyle name="Standaard_96PSEC08" xfId="59"/>
    <cellStyle name="Standaard_evo9899" xfId="60"/>
    <cellStyle name="Standaard_Sheet1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2.421875" style="193" customWidth="1"/>
    <col min="2" max="16384" width="9.140625" style="193" customWidth="1"/>
  </cols>
  <sheetData>
    <row r="1" ht="15">
      <c r="A1" s="201" t="s">
        <v>49</v>
      </c>
    </row>
    <row r="3" ht="12.75">
      <c r="A3" s="194" t="s">
        <v>47</v>
      </c>
    </row>
    <row r="4" spans="1:2" ht="12.75">
      <c r="A4" s="202" t="s">
        <v>66</v>
      </c>
      <c r="B4" s="193" t="s">
        <v>51</v>
      </c>
    </row>
    <row r="5" spans="1:2" ht="12.75">
      <c r="A5" s="202" t="s">
        <v>67</v>
      </c>
      <c r="B5" s="193" t="s">
        <v>50</v>
      </c>
    </row>
    <row r="6" spans="1:2" ht="12.75">
      <c r="A6" s="202" t="s">
        <v>68</v>
      </c>
      <c r="B6" s="193" t="s">
        <v>52</v>
      </c>
    </row>
    <row r="8" ht="12.75">
      <c r="A8" s="194" t="s">
        <v>48</v>
      </c>
    </row>
    <row r="9" spans="1:2" ht="12.75">
      <c r="A9" s="202" t="s">
        <v>69</v>
      </c>
      <c r="B9" s="193" t="s">
        <v>50</v>
      </c>
    </row>
    <row r="10" spans="1:2" ht="12.75">
      <c r="A10" s="202" t="s">
        <v>70</v>
      </c>
      <c r="B10" s="193" t="s">
        <v>53</v>
      </c>
    </row>
    <row r="11" spans="1:2" ht="12.75">
      <c r="A11" s="202" t="s">
        <v>71</v>
      </c>
      <c r="B11" s="193" t="s">
        <v>54</v>
      </c>
    </row>
    <row r="12" spans="1:2" ht="12.75">
      <c r="A12" s="202" t="s">
        <v>72</v>
      </c>
      <c r="B12" s="193" t="s">
        <v>52</v>
      </c>
    </row>
    <row r="13" spans="1:2" ht="12.75">
      <c r="A13" s="202" t="s">
        <v>73</v>
      </c>
      <c r="B13" s="193" t="s">
        <v>55</v>
      </c>
    </row>
    <row r="14" spans="1:2" ht="12.75">
      <c r="A14" s="202" t="s">
        <v>74</v>
      </c>
      <c r="B14" s="193" t="s">
        <v>56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95" sqref="A95"/>
    </sheetView>
  </sheetViews>
  <sheetFormatPr defaultColWidth="9.140625" defaultRowHeight="12" customHeight="1"/>
  <cols>
    <col min="1" max="1" width="31.421875" style="148" customWidth="1"/>
    <col min="2" max="16384" width="9.140625" style="148" customWidth="1"/>
  </cols>
  <sheetData>
    <row r="1" spans="1:10" s="141" customFormat="1" ht="12" customHeight="1">
      <c r="A1" s="1" t="s">
        <v>60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141" customFormat="1" ht="12" customHeight="1">
      <c r="A2" s="142" t="s">
        <v>30</v>
      </c>
      <c r="B2" s="143"/>
      <c r="C2" s="143"/>
      <c r="D2" s="143"/>
      <c r="E2" s="144"/>
      <c r="F2" s="144"/>
      <c r="G2" s="143"/>
      <c r="H2" s="143"/>
      <c r="I2" s="143"/>
      <c r="J2" s="143"/>
    </row>
    <row r="3" spans="1:10" s="141" customFormat="1" ht="12" customHeight="1">
      <c r="A3" s="143"/>
      <c r="B3" s="143"/>
      <c r="C3" s="143"/>
      <c r="D3" s="143"/>
      <c r="E3" s="144"/>
      <c r="F3" s="142"/>
      <c r="G3" s="143"/>
      <c r="H3" s="143"/>
      <c r="I3" s="143"/>
      <c r="J3" s="143"/>
    </row>
    <row r="4" spans="1:10" s="141" customFormat="1" ht="12" customHeight="1">
      <c r="A4" s="142" t="s">
        <v>65</v>
      </c>
      <c r="B4" s="143"/>
      <c r="C4" s="143"/>
      <c r="D4" s="143"/>
      <c r="E4" s="144"/>
      <c r="F4" s="144"/>
      <c r="G4" s="143"/>
      <c r="H4" s="143"/>
      <c r="I4" s="143"/>
      <c r="J4" s="143"/>
    </row>
    <row r="5" spans="2:10" s="141" customFormat="1" ht="12" customHeight="1"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2" customHeight="1">
      <c r="A6" s="142" t="s">
        <v>29</v>
      </c>
      <c r="B6" s="146"/>
      <c r="C6" s="146"/>
      <c r="D6" s="146"/>
      <c r="E6" s="146"/>
      <c r="F6" s="147"/>
      <c r="G6" s="146"/>
      <c r="H6" s="146"/>
      <c r="I6" s="146"/>
      <c r="J6" s="146"/>
    </row>
    <row r="7" spans="1:10" ht="12" customHeight="1">
      <c r="A7" s="142"/>
      <c r="B7" s="146"/>
      <c r="C7" s="146"/>
      <c r="D7" s="146"/>
      <c r="E7" s="146"/>
      <c r="F7" s="147"/>
      <c r="G7" s="146"/>
      <c r="H7" s="146"/>
      <c r="I7" s="146"/>
      <c r="J7" s="146"/>
    </row>
    <row r="8" spans="1:10" ht="12" customHeight="1">
      <c r="A8" s="142" t="s">
        <v>57</v>
      </c>
      <c r="B8" s="146"/>
      <c r="C8" s="146"/>
      <c r="D8" s="146"/>
      <c r="E8" s="146"/>
      <c r="F8" s="147"/>
      <c r="G8" s="146"/>
      <c r="H8" s="146"/>
      <c r="I8" s="146"/>
      <c r="J8" s="146"/>
    </row>
    <row r="9" spans="1:10" ht="12" customHeight="1" thickBot="1">
      <c r="A9" s="140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12" customHeight="1">
      <c r="A10" s="149"/>
      <c r="B10" s="150" t="s">
        <v>3</v>
      </c>
      <c r="C10" s="151"/>
      <c r="D10" s="151"/>
      <c r="E10" s="150" t="s">
        <v>4</v>
      </c>
      <c r="F10" s="151"/>
      <c r="G10" s="151"/>
      <c r="H10" s="150" t="s">
        <v>5</v>
      </c>
      <c r="I10" s="151"/>
      <c r="J10" s="151"/>
    </row>
    <row r="11" spans="1:10" ht="12" customHeight="1">
      <c r="A11" s="189" t="s">
        <v>19</v>
      </c>
      <c r="B11" s="152" t="s">
        <v>6</v>
      </c>
      <c r="C11" s="153" t="s">
        <v>7</v>
      </c>
      <c r="D11" s="153" t="s">
        <v>5</v>
      </c>
      <c r="E11" s="152" t="s">
        <v>6</v>
      </c>
      <c r="F11" s="153" t="s">
        <v>7</v>
      </c>
      <c r="G11" s="153" t="s">
        <v>5</v>
      </c>
      <c r="H11" s="152" t="s">
        <v>6</v>
      </c>
      <c r="I11" s="153" t="s">
        <v>7</v>
      </c>
      <c r="J11" s="153" t="s">
        <v>5</v>
      </c>
    </row>
    <row r="12" spans="1:10" ht="12" customHeight="1">
      <c r="A12" s="154"/>
      <c r="B12" s="155"/>
      <c r="C12" s="156"/>
      <c r="D12" s="156"/>
      <c r="E12" s="155"/>
      <c r="F12" s="156"/>
      <c r="G12" s="156"/>
      <c r="H12" s="155"/>
      <c r="I12" s="156"/>
      <c r="J12" s="156"/>
    </row>
    <row r="13" spans="1:10" ht="12" customHeight="1">
      <c r="A13" s="140" t="s">
        <v>20</v>
      </c>
      <c r="B13" s="157">
        <f aca="true" t="shared" si="0" ref="B13:J13">SUM(B36,B52,B68,B84)</f>
        <v>0</v>
      </c>
      <c r="C13" s="145">
        <f t="shared" si="0"/>
        <v>0</v>
      </c>
      <c r="D13" s="145">
        <f t="shared" si="0"/>
        <v>0</v>
      </c>
      <c r="E13" s="157">
        <f t="shared" si="0"/>
        <v>15</v>
      </c>
      <c r="F13" s="145">
        <f t="shared" si="0"/>
        <v>45</v>
      </c>
      <c r="G13" s="145">
        <f t="shared" si="0"/>
        <v>60</v>
      </c>
      <c r="H13" s="157">
        <f t="shared" si="0"/>
        <v>15</v>
      </c>
      <c r="I13" s="145">
        <f t="shared" si="0"/>
        <v>45</v>
      </c>
      <c r="J13" s="145">
        <f t="shared" si="0"/>
        <v>60</v>
      </c>
    </row>
    <row r="14" spans="1:10" ht="12" customHeight="1">
      <c r="A14" s="140" t="s">
        <v>21</v>
      </c>
      <c r="B14" s="157">
        <f aca="true" t="shared" si="1" ref="B14:J14">SUM(B37,B53,B69,B85)</f>
        <v>3</v>
      </c>
      <c r="C14" s="145">
        <f t="shared" si="1"/>
        <v>45</v>
      </c>
      <c r="D14" s="145">
        <f t="shared" si="1"/>
        <v>48</v>
      </c>
      <c r="E14" s="157">
        <f t="shared" si="1"/>
        <v>35</v>
      </c>
      <c r="F14" s="145">
        <f t="shared" si="1"/>
        <v>166</v>
      </c>
      <c r="G14" s="145">
        <f t="shared" si="1"/>
        <v>201</v>
      </c>
      <c r="H14" s="157">
        <f t="shared" si="1"/>
        <v>38</v>
      </c>
      <c r="I14" s="145">
        <f t="shared" si="1"/>
        <v>211</v>
      </c>
      <c r="J14" s="145">
        <f t="shared" si="1"/>
        <v>249</v>
      </c>
    </row>
    <row r="15" spans="1:10" ht="12" customHeight="1">
      <c r="A15" s="140" t="s">
        <v>22</v>
      </c>
      <c r="B15" s="157">
        <f aca="true" t="shared" si="2" ref="B15:J15">SUM(B38,B54,B70,B86)</f>
        <v>14</v>
      </c>
      <c r="C15" s="145">
        <f t="shared" si="2"/>
        <v>145</v>
      </c>
      <c r="D15" s="145">
        <f t="shared" si="2"/>
        <v>159</v>
      </c>
      <c r="E15" s="157">
        <f t="shared" si="2"/>
        <v>14</v>
      </c>
      <c r="F15" s="145">
        <f t="shared" si="2"/>
        <v>102</v>
      </c>
      <c r="G15" s="145">
        <f t="shared" si="2"/>
        <v>116</v>
      </c>
      <c r="H15" s="157">
        <f t="shared" si="2"/>
        <v>28</v>
      </c>
      <c r="I15" s="145">
        <f t="shared" si="2"/>
        <v>247</v>
      </c>
      <c r="J15" s="145">
        <f t="shared" si="2"/>
        <v>275</v>
      </c>
    </row>
    <row r="16" spans="1:10" ht="12" customHeight="1">
      <c r="A16" s="140" t="s">
        <v>23</v>
      </c>
      <c r="B16" s="157">
        <f aca="true" t="shared" si="3" ref="B16:J16">SUM(B39,B55,B71,B87)</f>
        <v>35</v>
      </c>
      <c r="C16" s="145">
        <f t="shared" si="3"/>
        <v>162</v>
      </c>
      <c r="D16" s="145">
        <f t="shared" si="3"/>
        <v>197</v>
      </c>
      <c r="E16" s="157">
        <f t="shared" si="3"/>
        <v>8</v>
      </c>
      <c r="F16" s="145">
        <f t="shared" si="3"/>
        <v>63</v>
      </c>
      <c r="G16" s="145">
        <f t="shared" si="3"/>
        <v>71</v>
      </c>
      <c r="H16" s="157">
        <f t="shared" si="3"/>
        <v>43</v>
      </c>
      <c r="I16" s="145">
        <f t="shared" si="3"/>
        <v>225</v>
      </c>
      <c r="J16" s="145">
        <f t="shared" si="3"/>
        <v>268</v>
      </c>
    </row>
    <row r="17" spans="1:10" ht="12" customHeight="1">
      <c r="A17" s="140" t="s">
        <v>24</v>
      </c>
      <c r="B17" s="157">
        <f aca="true" t="shared" si="4" ref="B17:J17">SUM(B40,B56,B72,B88)</f>
        <v>25</v>
      </c>
      <c r="C17" s="145">
        <f t="shared" si="4"/>
        <v>127</v>
      </c>
      <c r="D17" s="145">
        <f t="shared" si="4"/>
        <v>152</v>
      </c>
      <c r="E17" s="157">
        <f t="shared" si="4"/>
        <v>5</v>
      </c>
      <c r="F17" s="145">
        <f t="shared" si="4"/>
        <v>49</v>
      </c>
      <c r="G17" s="145">
        <f t="shared" si="4"/>
        <v>54</v>
      </c>
      <c r="H17" s="157">
        <f t="shared" si="4"/>
        <v>30</v>
      </c>
      <c r="I17" s="145">
        <f t="shared" si="4"/>
        <v>176</v>
      </c>
      <c r="J17" s="145">
        <f t="shared" si="4"/>
        <v>206</v>
      </c>
    </row>
    <row r="18" spans="1:10" ht="12" customHeight="1">
      <c r="A18" s="140" t="s">
        <v>25</v>
      </c>
      <c r="B18" s="157">
        <f aca="true" t="shared" si="5" ref="B18:J18">SUM(B41,B57,B73,B89)</f>
        <v>17</v>
      </c>
      <c r="C18" s="145">
        <f t="shared" si="5"/>
        <v>115</v>
      </c>
      <c r="D18" s="145">
        <f t="shared" si="5"/>
        <v>132</v>
      </c>
      <c r="E18" s="157">
        <f t="shared" si="5"/>
        <v>2</v>
      </c>
      <c r="F18" s="145">
        <f t="shared" si="5"/>
        <v>21</v>
      </c>
      <c r="G18" s="145">
        <f t="shared" si="5"/>
        <v>23</v>
      </c>
      <c r="H18" s="157">
        <f t="shared" si="5"/>
        <v>19</v>
      </c>
      <c r="I18" s="145">
        <f t="shared" si="5"/>
        <v>136</v>
      </c>
      <c r="J18" s="145">
        <f t="shared" si="5"/>
        <v>155</v>
      </c>
    </row>
    <row r="19" spans="1:10" ht="12" customHeight="1">
      <c r="A19" s="140" t="s">
        <v>26</v>
      </c>
      <c r="B19" s="157">
        <f aca="true" t="shared" si="6" ref="B19:J19">SUM(B42,B58,B74,B90)</f>
        <v>12</v>
      </c>
      <c r="C19" s="145">
        <f t="shared" si="6"/>
        <v>104</v>
      </c>
      <c r="D19" s="145">
        <f t="shared" si="6"/>
        <v>116</v>
      </c>
      <c r="E19" s="157">
        <f t="shared" si="6"/>
        <v>1</v>
      </c>
      <c r="F19" s="145">
        <f t="shared" si="6"/>
        <v>12</v>
      </c>
      <c r="G19" s="145">
        <f t="shared" si="6"/>
        <v>13</v>
      </c>
      <c r="H19" s="157">
        <f t="shared" si="6"/>
        <v>13</v>
      </c>
      <c r="I19" s="145">
        <f t="shared" si="6"/>
        <v>116</v>
      </c>
      <c r="J19" s="145">
        <f t="shared" si="6"/>
        <v>129</v>
      </c>
    </row>
    <row r="20" spans="1:10" ht="12" customHeight="1">
      <c r="A20" s="140" t="s">
        <v>27</v>
      </c>
      <c r="B20" s="157">
        <f aca="true" t="shared" si="7" ref="B20:J20">SUM(B43,B59,B75,B91)</f>
        <v>30</v>
      </c>
      <c r="C20" s="145">
        <f t="shared" si="7"/>
        <v>121</v>
      </c>
      <c r="D20" s="145">
        <f t="shared" si="7"/>
        <v>151</v>
      </c>
      <c r="E20" s="157">
        <f t="shared" si="7"/>
        <v>2</v>
      </c>
      <c r="F20" s="145">
        <f t="shared" si="7"/>
        <v>6</v>
      </c>
      <c r="G20" s="145">
        <f t="shared" si="7"/>
        <v>8</v>
      </c>
      <c r="H20" s="157">
        <f t="shared" si="7"/>
        <v>32</v>
      </c>
      <c r="I20" s="145">
        <f t="shared" si="7"/>
        <v>127</v>
      </c>
      <c r="J20" s="145">
        <f t="shared" si="7"/>
        <v>159</v>
      </c>
    </row>
    <row r="21" spans="1:10" ht="12" customHeight="1">
      <c r="A21" s="140" t="s">
        <v>28</v>
      </c>
      <c r="B21" s="157">
        <f aca="true" t="shared" si="8" ref="B21:J21">SUM(B44,B60,B76,B92)</f>
        <v>22</v>
      </c>
      <c r="C21" s="145">
        <f t="shared" si="8"/>
        <v>45</v>
      </c>
      <c r="D21" s="158">
        <f t="shared" si="8"/>
        <v>67</v>
      </c>
      <c r="E21" s="157">
        <f t="shared" si="8"/>
        <v>2</v>
      </c>
      <c r="F21" s="145">
        <f t="shared" si="8"/>
        <v>1</v>
      </c>
      <c r="G21" s="158">
        <f t="shared" si="8"/>
        <v>3</v>
      </c>
      <c r="H21" s="157">
        <f t="shared" si="8"/>
        <v>24</v>
      </c>
      <c r="I21" s="145">
        <f t="shared" si="8"/>
        <v>46</v>
      </c>
      <c r="J21" s="158">
        <f t="shared" si="8"/>
        <v>70</v>
      </c>
    </row>
    <row r="22" spans="1:10" ht="12" customHeight="1">
      <c r="A22" s="159" t="s">
        <v>5</v>
      </c>
      <c r="B22" s="160">
        <f aca="true" t="shared" si="9" ref="B22:J22">SUM(B45,B61,B77,B93)</f>
        <v>158</v>
      </c>
      <c r="C22" s="161">
        <f t="shared" si="9"/>
        <v>864</v>
      </c>
      <c r="D22" s="161">
        <f t="shared" si="9"/>
        <v>1022</v>
      </c>
      <c r="E22" s="160">
        <f t="shared" si="9"/>
        <v>84</v>
      </c>
      <c r="F22" s="161">
        <f t="shared" si="9"/>
        <v>465</v>
      </c>
      <c r="G22" s="161">
        <f t="shared" si="9"/>
        <v>549</v>
      </c>
      <c r="H22" s="160">
        <f t="shared" si="9"/>
        <v>242</v>
      </c>
      <c r="I22" s="161">
        <f t="shared" si="9"/>
        <v>1329</v>
      </c>
      <c r="J22" s="161">
        <f t="shared" si="9"/>
        <v>1571</v>
      </c>
    </row>
    <row r="24" spans="1:10" ht="12" customHeight="1">
      <c r="A24" s="1" t="s">
        <v>60</v>
      </c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0" ht="12" customHeight="1">
      <c r="A25" s="142" t="s">
        <v>30</v>
      </c>
      <c r="B25" s="143"/>
      <c r="C25" s="143"/>
      <c r="D25" s="143"/>
      <c r="E25" s="144"/>
      <c r="F25" s="144"/>
      <c r="G25" s="143"/>
      <c r="H25" s="143"/>
      <c r="I25" s="143"/>
      <c r="J25" s="143"/>
    </row>
    <row r="26" spans="1:10" ht="12" customHeight="1">
      <c r="A26" s="143"/>
      <c r="B26" s="143"/>
      <c r="C26" s="143"/>
      <c r="D26" s="143"/>
      <c r="E26" s="144"/>
      <c r="F26" s="142"/>
      <c r="G26" s="143"/>
      <c r="H26" s="143"/>
      <c r="I26" s="143"/>
      <c r="J26" s="143"/>
    </row>
    <row r="27" spans="1:10" ht="12" customHeight="1">
      <c r="A27" s="142" t="s">
        <v>65</v>
      </c>
      <c r="B27" s="143"/>
      <c r="C27" s="143"/>
      <c r="D27" s="143"/>
      <c r="E27" s="144"/>
      <c r="F27" s="144"/>
      <c r="G27" s="143"/>
      <c r="H27" s="143"/>
      <c r="I27" s="143"/>
      <c r="J27" s="143"/>
    </row>
    <row r="28" spans="1:10" ht="12" customHeight="1">
      <c r="A28" s="141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2" customHeight="1">
      <c r="A29" s="142" t="s">
        <v>29</v>
      </c>
      <c r="B29" s="146"/>
      <c r="C29" s="146"/>
      <c r="D29" s="146"/>
      <c r="E29" s="146"/>
      <c r="F29" s="147"/>
      <c r="G29" s="146"/>
      <c r="H29" s="146"/>
      <c r="I29" s="146"/>
      <c r="J29" s="146"/>
    </row>
    <row r="30" spans="1:10" ht="12" customHeight="1">
      <c r="A30" s="142"/>
      <c r="B30" s="146"/>
      <c r="C30" s="146"/>
      <c r="D30" s="146"/>
      <c r="E30" s="146"/>
      <c r="F30" s="147"/>
      <c r="G30" s="146"/>
      <c r="H30" s="146"/>
      <c r="I30" s="146"/>
      <c r="J30" s="146"/>
    </row>
    <row r="31" spans="1:10" ht="12" customHeight="1">
      <c r="A31" s="142" t="s">
        <v>31</v>
      </c>
      <c r="B31" s="146"/>
      <c r="C31" s="146"/>
      <c r="D31" s="146"/>
      <c r="E31" s="146"/>
      <c r="F31" s="147"/>
      <c r="G31" s="146"/>
      <c r="H31" s="146"/>
      <c r="I31" s="146"/>
      <c r="J31" s="146"/>
    </row>
    <row r="32" spans="1:10" ht="12" customHeight="1" thickBot="1">
      <c r="A32" s="140"/>
      <c r="B32" s="145"/>
      <c r="C32" s="145"/>
      <c r="D32" s="145"/>
      <c r="E32" s="145"/>
      <c r="F32" s="145"/>
      <c r="G32" s="145"/>
      <c r="H32" s="145"/>
      <c r="I32" s="145"/>
      <c r="J32" s="145"/>
    </row>
    <row r="33" spans="1:10" ht="12" customHeight="1">
      <c r="A33" s="149"/>
      <c r="B33" s="150" t="s">
        <v>3</v>
      </c>
      <c r="C33" s="151"/>
      <c r="D33" s="151"/>
      <c r="E33" s="150" t="s">
        <v>4</v>
      </c>
      <c r="F33" s="151"/>
      <c r="G33" s="151"/>
      <c r="H33" s="150" t="s">
        <v>5</v>
      </c>
      <c r="I33" s="151"/>
      <c r="J33" s="151"/>
    </row>
    <row r="34" spans="1:10" ht="12" customHeight="1">
      <c r="A34" s="189" t="s">
        <v>19</v>
      </c>
      <c r="B34" s="152" t="s">
        <v>6</v>
      </c>
      <c r="C34" s="153" t="s">
        <v>7</v>
      </c>
      <c r="D34" s="153" t="s">
        <v>5</v>
      </c>
      <c r="E34" s="152" t="s">
        <v>6</v>
      </c>
      <c r="F34" s="153" t="s">
        <v>7</v>
      </c>
      <c r="G34" s="153" t="s">
        <v>5</v>
      </c>
      <c r="H34" s="152" t="s">
        <v>6</v>
      </c>
      <c r="I34" s="153" t="s">
        <v>7</v>
      </c>
      <c r="J34" s="153" t="s">
        <v>5</v>
      </c>
    </row>
    <row r="35" spans="1:10" ht="12" customHeight="1">
      <c r="A35" s="154"/>
      <c r="B35" s="155"/>
      <c r="C35" s="156"/>
      <c r="D35" s="156"/>
      <c r="E35" s="155"/>
      <c r="F35" s="156"/>
      <c r="G35" s="156"/>
      <c r="H35" s="155"/>
      <c r="I35" s="156"/>
      <c r="J35" s="156"/>
    </row>
    <row r="36" spans="1:10" ht="12" customHeight="1">
      <c r="A36" s="140" t="s">
        <v>20</v>
      </c>
      <c r="B36" s="157">
        <v>0</v>
      </c>
      <c r="C36" s="145">
        <v>0</v>
      </c>
      <c r="D36" s="145">
        <f>SUM(B36:C36)</f>
        <v>0</v>
      </c>
      <c r="E36" s="157">
        <v>4</v>
      </c>
      <c r="F36" s="145">
        <v>15</v>
      </c>
      <c r="G36" s="145">
        <f aca="true" t="shared" si="10" ref="G36:G44">SUM(E36:F36)</f>
        <v>19</v>
      </c>
      <c r="H36" s="157">
        <f>SUM(B36,E36)</f>
        <v>4</v>
      </c>
      <c r="I36" s="145">
        <f>SUM(C36,F36)</f>
        <v>15</v>
      </c>
      <c r="J36" s="145">
        <f aca="true" t="shared" si="11" ref="J36:J44">SUM(H36:I36)</f>
        <v>19</v>
      </c>
    </row>
    <row r="37" spans="1:10" ht="12" customHeight="1">
      <c r="A37" s="140" t="s">
        <v>21</v>
      </c>
      <c r="B37" s="157">
        <v>1</v>
      </c>
      <c r="C37" s="145">
        <v>16</v>
      </c>
      <c r="D37" s="145">
        <f aca="true" t="shared" si="12" ref="D37:D44">SUM(B37:C37)</f>
        <v>17</v>
      </c>
      <c r="E37" s="157">
        <v>6</v>
      </c>
      <c r="F37" s="145">
        <v>37</v>
      </c>
      <c r="G37" s="145">
        <f t="shared" si="10"/>
        <v>43</v>
      </c>
      <c r="H37" s="157">
        <f aca="true" t="shared" si="13" ref="H37:I44">SUM(B37,E37)</f>
        <v>7</v>
      </c>
      <c r="I37" s="145">
        <f t="shared" si="13"/>
        <v>53</v>
      </c>
      <c r="J37" s="145">
        <f t="shared" si="11"/>
        <v>60</v>
      </c>
    </row>
    <row r="38" spans="1:10" ht="12" customHeight="1">
      <c r="A38" s="140" t="s">
        <v>22</v>
      </c>
      <c r="B38" s="157">
        <v>4</v>
      </c>
      <c r="C38" s="145">
        <v>46</v>
      </c>
      <c r="D38" s="145">
        <f t="shared" si="12"/>
        <v>50</v>
      </c>
      <c r="E38" s="157">
        <v>2</v>
      </c>
      <c r="F38" s="145">
        <v>29</v>
      </c>
      <c r="G38" s="145">
        <f t="shared" si="10"/>
        <v>31</v>
      </c>
      <c r="H38" s="157">
        <f t="shared" si="13"/>
        <v>6</v>
      </c>
      <c r="I38" s="145">
        <f t="shared" si="13"/>
        <v>75</v>
      </c>
      <c r="J38" s="145">
        <f t="shared" si="11"/>
        <v>81</v>
      </c>
    </row>
    <row r="39" spans="1:10" ht="12" customHeight="1">
      <c r="A39" s="140" t="s">
        <v>23</v>
      </c>
      <c r="B39" s="155">
        <v>8</v>
      </c>
      <c r="C39" s="145">
        <v>54</v>
      </c>
      <c r="D39" s="145">
        <f t="shared" si="12"/>
        <v>62</v>
      </c>
      <c r="E39" s="157">
        <v>1</v>
      </c>
      <c r="F39" s="145">
        <v>13</v>
      </c>
      <c r="G39" s="145">
        <f t="shared" si="10"/>
        <v>14</v>
      </c>
      <c r="H39" s="157">
        <f t="shared" si="13"/>
        <v>9</v>
      </c>
      <c r="I39" s="145">
        <f t="shared" si="13"/>
        <v>67</v>
      </c>
      <c r="J39" s="145">
        <f t="shared" si="11"/>
        <v>76</v>
      </c>
    </row>
    <row r="40" spans="1:10" ht="12" customHeight="1">
      <c r="A40" s="140" t="s">
        <v>24</v>
      </c>
      <c r="B40" s="155">
        <v>8</v>
      </c>
      <c r="C40" s="145">
        <v>39</v>
      </c>
      <c r="D40" s="145">
        <f t="shared" si="12"/>
        <v>47</v>
      </c>
      <c r="E40" s="157">
        <v>1</v>
      </c>
      <c r="F40" s="145">
        <v>14</v>
      </c>
      <c r="G40" s="145">
        <f t="shared" si="10"/>
        <v>15</v>
      </c>
      <c r="H40" s="157">
        <f t="shared" si="13"/>
        <v>9</v>
      </c>
      <c r="I40" s="145">
        <f t="shared" si="13"/>
        <v>53</v>
      </c>
      <c r="J40" s="145">
        <f t="shared" si="11"/>
        <v>62</v>
      </c>
    </row>
    <row r="41" spans="1:10" ht="12" customHeight="1">
      <c r="A41" s="140" t="s">
        <v>25</v>
      </c>
      <c r="B41" s="155">
        <v>3</v>
      </c>
      <c r="C41" s="145">
        <v>30</v>
      </c>
      <c r="D41" s="145">
        <f t="shared" si="12"/>
        <v>33</v>
      </c>
      <c r="E41" s="157">
        <v>0</v>
      </c>
      <c r="F41" s="145">
        <v>8</v>
      </c>
      <c r="G41" s="145">
        <f t="shared" si="10"/>
        <v>8</v>
      </c>
      <c r="H41" s="157">
        <f t="shared" si="13"/>
        <v>3</v>
      </c>
      <c r="I41" s="145">
        <f t="shared" si="13"/>
        <v>38</v>
      </c>
      <c r="J41" s="145">
        <f t="shared" si="11"/>
        <v>41</v>
      </c>
    </row>
    <row r="42" spans="1:10" ht="12" customHeight="1">
      <c r="A42" s="140" t="s">
        <v>26</v>
      </c>
      <c r="B42" s="155">
        <v>1</v>
      </c>
      <c r="C42" s="145">
        <v>32</v>
      </c>
      <c r="D42" s="145">
        <f t="shared" si="12"/>
        <v>33</v>
      </c>
      <c r="E42" s="157">
        <v>1</v>
      </c>
      <c r="F42" s="145">
        <v>6</v>
      </c>
      <c r="G42" s="145">
        <f t="shared" si="10"/>
        <v>7</v>
      </c>
      <c r="H42" s="157">
        <f t="shared" si="13"/>
        <v>2</v>
      </c>
      <c r="I42" s="145">
        <f t="shared" si="13"/>
        <v>38</v>
      </c>
      <c r="J42" s="145">
        <f t="shared" si="11"/>
        <v>40</v>
      </c>
    </row>
    <row r="43" spans="1:10" ht="12" customHeight="1">
      <c r="A43" s="140" t="s">
        <v>27</v>
      </c>
      <c r="B43" s="155">
        <v>8</v>
      </c>
      <c r="C43" s="145">
        <v>30</v>
      </c>
      <c r="D43" s="145">
        <f t="shared" si="12"/>
        <v>38</v>
      </c>
      <c r="E43" s="157">
        <v>1</v>
      </c>
      <c r="F43" s="145">
        <v>0</v>
      </c>
      <c r="G43" s="145">
        <f t="shared" si="10"/>
        <v>1</v>
      </c>
      <c r="H43" s="157">
        <f t="shared" si="13"/>
        <v>9</v>
      </c>
      <c r="I43" s="145">
        <f t="shared" si="13"/>
        <v>30</v>
      </c>
      <c r="J43" s="145">
        <f t="shared" si="11"/>
        <v>39</v>
      </c>
    </row>
    <row r="44" spans="1:10" ht="12" customHeight="1">
      <c r="A44" s="140" t="s">
        <v>28</v>
      </c>
      <c r="B44" s="155">
        <v>6</v>
      </c>
      <c r="C44" s="145">
        <v>12</v>
      </c>
      <c r="D44" s="158">
        <f t="shared" si="12"/>
        <v>18</v>
      </c>
      <c r="E44" s="157">
        <v>1</v>
      </c>
      <c r="F44" s="145">
        <v>1</v>
      </c>
      <c r="G44" s="158">
        <f t="shared" si="10"/>
        <v>2</v>
      </c>
      <c r="H44" s="157">
        <f t="shared" si="13"/>
        <v>7</v>
      </c>
      <c r="I44" s="145">
        <f t="shared" si="13"/>
        <v>13</v>
      </c>
      <c r="J44" s="158">
        <f t="shared" si="11"/>
        <v>20</v>
      </c>
    </row>
    <row r="45" spans="1:10" ht="12" customHeight="1">
      <c r="A45" s="159" t="s">
        <v>5</v>
      </c>
      <c r="B45" s="160">
        <f>SUM(B36:B44)</f>
        <v>39</v>
      </c>
      <c r="C45" s="161">
        <f aca="true" t="shared" si="14" ref="C45:J45">SUM(C36:C44)</f>
        <v>259</v>
      </c>
      <c r="D45" s="161">
        <f t="shared" si="14"/>
        <v>298</v>
      </c>
      <c r="E45" s="160">
        <f t="shared" si="14"/>
        <v>17</v>
      </c>
      <c r="F45" s="161">
        <f t="shared" si="14"/>
        <v>123</v>
      </c>
      <c r="G45" s="161">
        <f t="shared" si="14"/>
        <v>140</v>
      </c>
      <c r="H45" s="160">
        <f t="shared" si="14"/>
        <v>56</v>
      </c>
      <c r="I45" s="161">
        <f t="shared" si="14"/>
        <v>382</v>
      </c>
      <c r="J45" s="161">
        <f t="shared" si="14"/>
        <v>438</v>
      </c>
    </row>
    <row r="47" spans="1:10" ht="12" customHeight="1">
      <c r="A47" s="142" t="s">
        <v>9</v>
      </c>
      <c r="B47" s="146"/>
      <c r="C47" s="146"/>
      <c r="D47" s="146"/>
      <c r="E47" s="146"/>
      <c r="F47" s="147"/>
      <c r="G47" s="146"/>
      <c r="H47" s="146"/>
      <c r="I47" s="146"/>
      <c r="J47" s="146"/>
    </row>
    <row r="48" spans="1:10" ht="12" customHeight="1" thickBot="1">
      <c r="A48" s="140"/>
      <c r="B48" s="145"/>
      <c r="C48" s="145"/>
      <c r="D48" s="145"/>
      <c r="E48" s="145"/>
      <c r="F48" s="145"/>
      <c r="G48" s="145"/>
      <c r="H48" s="145"/>
      <c r="I48" s="145"/>
      <c r="J48" s="145"/>
    </row>
    <row r="49" spans="1:10" ht="12" customHeight="1">
      <c r="A49" s="149"/>
      <c r="B49" s="150" t="s">
        <v>3</v>
      </c>
      <c r="C49" s="151"/>
      <c r="D49" s="151"/>
      <c r="E49" s="150" t="s">
        <v>4</v>
      </c>
      <c r="F49" s="151"/>
      <c r="G49" s="151"/>
      <c r="H49" s="150" t="s">
        <v>5</v>
      </c>
      <c r="I49" s="151"/>
      <c r="J49" s="151"/>
    </row>
    <row r="50" spans="1:10" ht="12" customHeight="1">
      <c r="A50" s="189" t="s">
        <v>19</v>
      </c>
      <c r="B50" s="152" t="s">
        <v>6</v>
      </c>
      <c r="C50" s="153" t="s">
        <v>7</v>
      </c>
      <c r="D50" s="153" t="s">
        <v>5</v>
      </c>
      <c r="E50" s="152" t="s">
        <v>6</v>
      </c>
      <c r="F50" s="153" t="s">
        <v>7</v>
      </c>
      <c r="G50" s="153" t="s">
        <v>5</v>
      </c>
      <c r="H50" s="152" t="s">
        <v>6</v>
      </c>
      <c r="I50" s="153" t="s">
        <v>7</v>
      </c>
      <c r="J50" s="153" t="s">
        <v>5</v>
      </c>
    </row>
    <row r="51" spans="1:10" ht="12" customHeight="1">
      <c r="A51" s="154"/>
      <c r="B51" s="155"/>
      <c r="C51" s="156"/>
      <c r="D51" s="156"/>
      <c r="E51" s="155"/>
      <c r="F51" s="156"/>
      <c r="G51" s="156"/>
      <c r="H51" s="155"/>
      <c r="I51" s="156"/>
      <c r="J51" s="156"/>
    </row>
    <row r="52" spans="1:10" ht="12" customHeight="1">
      <c r="A52" s="140" t="s">
        <v>20</v>
      </c>
      <c r="B52" s="157">
        <v>0</v>
      </c>
      <c r="C52" s="145">
        <v>0</v>
      </c>
      <c r="D52" s="145">
        <f>SUM(B52:C52)</f>
        <v>0</v>
      </c>
      <c r="E52" s="157">
        <v>8</v>
      </c>
      <c r="F52" s="145">
        <v>25</v>
      </c>
      <c r="G52" s="145">
        <f aca="true" t="shared" si="15" ref="G52:G60">SUM(E52:F52)</f>
        <v>33</v>
      </c>
      <c r="H52" s="157">
        <f>SUM(B52,E52)</f>
        <v>8</v>
      </c>
      <c r="I52" s="145">
        <f>SUM(C52,F52)</f>
        <v>25</v>
      </c>
      <c r="J52" s="145">
        <f aca="true" t="shared" si="16" ref="J52:J60">SUM(H52:I52)</f>
        <v>33</v>
      </c>
    </row>
    <row r="53" spans="1:10" ht="12" customHeight="1">
      <c r="A53" s="140" t="s">
        <v>21</v>
      </c>
      <c r="B53" s="157">
        <v>2</v>
      </c>
      <c r="C53" s="145">
        <v>29</v>
      </c>
      <c r="D53" s="145">
        <f aca="true" t="shared" si="17" ref="D53:D60">SUM(B53:C53)</f>
        <v>31</v>
      </c>
      <c r="E53" s="157">
        <v>24</v>
      </c>
      <c r="F53" s="145">
        <v>109</v>
      </c>
      <c r="G53" s="145">
        <f t="shared" si="15"/>
        <v>133</v>
      </c>
      <c r="H53" s="157">
        <f aca="true" t="shared" si="18" ref="H53:I60">SUM(B53,E53)</f>
        <v>26</v>
      </c>
      <c r="I53" s="145">
        <f t="shared" si="18"/>
        <v>138</v>
      </c>
      <c r="J53" s="145">
        <f t="shared" si="16"/>
        <v>164</v>
      </c>
    </row>
    <row r="54" spans="1:10" ht="12" customHeight="1">
      <c r="A54" s="140" t="s">
        <v>22</v>
      </c>
      <c r="B54" s="157">
        <v>9</v>
      </c>
      <c r="C54" s="145">
        <v>83</v>
      </c>
      <c r="D54" s="145">
        <f t="shared" si="17"/>
        <v>92</v>
      </c>
      <c r="E54" s="157">
        <v>11</v>
      </c>
      <c r="F54" s="145">
        <v>63</v>
      </c>
      <c r="G54" s="145">
        <f t="shared" si="15"/>
        <v>74</v>
      </c>
      <c r="H54" s="157">
        <f t="shared" si="18"/>
        <v>20</v>
      </c>
      <c r="I54" s="145">
        <f t="shared" si="18"/>
        <v>146</v>
      </c>
      <c r="J54" s="145">
        <f t="shared" si="16"/>
        <v>166</v>
      </c>
    </row>
    <row r="55" spans="1:10" ht="12" customHeight="1">
      <c r="A55" s="140" t="s">
        <v>23</v>
      </c>
      <c r="B55" s="155">
        <v>25</v>
      </c>
      <c r="C55" s="145">
        <v>93</v>
      </c>
      <c r="D55" s="145">
        <f t="shared" si="17"/>
        <v>118</v>
      </c>
      <c r="E55" s="155">
        <v>6</v>
      </c>
      <c r="F55" s="145">
        <v>38</v>
      </c>
      <c r="G55" s="145">
        <f t="shared" si="15"/>
        <v>44</v>
      </c>
      <c r="H55" s="157">
        <f t="shared" si="18"/>
        <v>31</v>
      </c>
      <c r="I55" s="145">
        <f t="shared" si="18"/>
        <v>131</v>
      </c>
      <c r="J55" s="145">
        <f t="shared" si="16"/>
        <v>162</v>
      </c>
    </row>
    <row r="56" spans="1:10" ht="12" customHeight="1">
      <c r="A56" s="140" t="s">
        <v>24</v>
      </c>
      <c r="B56" s="155">
        <v>14</v>
      </c>
      <c r="C56" s="145">
        <v>83</v>
      </c>
      <c r="D56" s="145">
        <f t="shared" si="17"/>
        <v>97</v>
      </c>
      <c r="E56" s="155">
        <v>3</v>
      </c>
      <c r="F56" s="145">
        <v>27</v>
      </c>
      <c r="G56" s="145">
        <f t="shared" si="15"/>
        <v>30</v>
      </c>
      <c r="H56" s="157">
        <f t="shared" si="18"/>
        <v>17</v>
      </c>
      <c r="I56" s="145">
        <f t="shared" si="18"/>
        <v>110</v>
      </c>
      <c r="J56" s="145">
        <f t="shared" si="16"/>
        <v>127</v>
      </c>
    </row>
    <row r="57" spans="1:10" ht="12" customHeight="1">
      <c r="A57" s="140" t="s">
        <v>25</v>
      </c>
      <c r="B57" s="155">
        <v>9</v>
      </c>
      <c r="C57" s="145">
        <v>73</v>
      </c>
      <c r="D57" s="145">
        <f t="shared" si="17"/>
        <v>82</v>
      </c>
      <c r="E57" s="155">
        <v>1</v>
      </c>
      <c r="F57" s="145">
        <v>8</v>
      </c>
      <c r="G57" s="145">
        <f t="shared" si="15"/>
        <v>9</v>
      </c>
      <c r="H57" s="157">
        <f t="shared" si="18"/>
        <v>10</v>
      </c>
      <c r="I57" s="145">
        <f t="shared" si="18"/>
        <v>81</v>
      </c>
      <c r="J57" s="145">
        <f t="shared" si="16"/>
        <v>91</v>
      </c>
    </row>
    <row r="58" spans="1:10" ht="12" customHeight="1">
      <c r="A58" s="140" t="s">
        <v>26</v>
      </c>
      <c r="B58" s="155">
        <v>10</v>
      </c>
      <c r="C58" s="145">
        <v>58</v>
      </c>
      <c r="D58" s="145">
        <f t="shared" si="17"/>
        <v>68</v>
      </c>
      <c r="E58" s="155">
        <v>0</v>
      </c>
      <c r="F58" s="145">
        <v>4</v>
      </c>
      <c r="G58" s="145">
        <f t="shared" si="15"/>
        <v>4</v>
      </c>
      <c r="H58" s="157">
        <f t="shared" si="18"/>
        <v>10</v>
      </c>
      <c r="I58" s="145">
        <f t="shared" si="18"/>
        <v>62</v>
      </c>
      <c r="J58" s="145">
        <f t="shared" si="16"/>
        <v>72</v>
      </c>
    </row>
    <row r="59" spans="1:10" ht="12" customHeight="1">
      <c r="A59" s="140" t="s">
        <v>27</v>
      </c>
      <c r="B59" s="155">
        <v>18</v>
      </c>
      <c r="C59" s="145">
        <v>73</v>
      </c>
      <c r="D59" s="145">
        <f t="shared" si="17"/>
        <v>91</v>
      </c>
      <c r="E59" s="155">
        <v>1</v>
      </c>
      <c r="F59" s="145">
        <v>6</v>
      </c>
      <c r="G59" s="145">
        <f t="shared" si="15"/>
        <v>7</v>
      </c>
      <c r="H59" s="157">
        <f t="shared" si="18"/>
        <v>19</v>
      </c>
      <c r="I59" s="145">
        <f t="shared" si="18"/>
        <v>79</v>
      </c>
      <c r="J59" s="145">
        <f t="shared" si="16"/>
        <v>98</v>
      </c>
    </row>
    <row r="60" spans="1:10" ht="12" customHeight="1">
      <c r="A60" s="140" t="s">
        <v>28</v>
      </c>
      <c r="B60" s="155">
        <v>15</v>
      </c>
      <c r="C60" s="145">
        <v>27</v>
      </c>
      <c r="D60" s="158">
        <f t="shared" si="17"/>
        <v>42</v>
      </c>
      <c r="E60" s="155">
        <v>1</v>
      </c>
      <c r="F60" s="145">
        <v>0</v>
      </c>
      <c r="G60" s="158">
        <f t="shared" si="15"/>
        <v>1</v>
      </c>
      <c r="H60" s="157">
        <f t="shared" si="18"/>
        <v>16</v>
      </c>
      <c r="I60" s="145">
        <f t="shared" si="18"/>
        <v>27</v>
      </c>
      <c r="J60" s="158">
        <f t="shared" si="16"/>
        <v>43</v>
      </c>
    </row>
    <row r="61" spans="1:10" ht="12" customHeight="1">
      <c r="A61" s="159" t="s">
        <v>5</v>
      </c>
      <c r="B61" s="160">
        <f>SUM(B52:B60)</f>
        <v>102</v>
      </c>
      <c r="C61" s="161">
        <f aca="true" t="shared" si="19" ref="C61:J61">SUM(C52:C60)</f>
        <v>519</v>
      </c>
      <c r="D61" s="161">
        <f t="shared" si="19"/>
        <v>621</v>
      </c>
      <c r="E61" s="160">
        <f t="shared" si="19"/>
        <v>55</v>
      </c>
      <c r="F61" s="161">
        <f t="shared" si="19"/>
        <v>280</v>
      </c>
      <c r="G61" s="161">
        <f t="shared" si="19"/>
        <v>335</v>
      </c>
      <c r="H61" s="160">
        <f t="shared" si="19"/>
        <v>157</v>
      </c>
      <c r="I61" s="161">
        <f t="shared" si="19"/>
        <v>799</v>
      </c>
      <c r="J61" s="161">
        <f t="shared" si="19"/>
        <v>956</v>
      </c>
    </row>
    <row r="63" spans="1:10" ht="12" customHeight="1">
      <c r="A63" s="142" t="s">
        <v>10</v>
      </c>
      <c r="B63" s="146"/>
      <c r="C63" s="146"/>
      <c r="D63" s="146"/>
      <c r="E63" s="146"/>
      <c r="F63" s="147"/>
      <c r="G63" s="146"/>
      <c r="H63" s="146"/>
      <c r="I63" s="146"/>
      <c r="J63" s="146"/>
    </row>
    <row r="64" spans="1:10" ht="12" customHeight="1" thickBot="1">
      <c r="A64" s="140"/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2" customHeight="1">
      <c r="A65" s="149"/>
      <c r="B65" s="150" t="s">
        <v>3</v>
      </c>
      <c r="C65" s="151"/>
      <c r="D65" s="151"/>
      <c r="E65" s="150" t="s">
        <v>4</v>
      </c>
      <c r="F65" s="151"/>
      <c r="G65" s="151"/>
      <c r="H65" s="150" t="s">
        <v>5</v>
      </c>
      <c r="I65" s="151"/>
      <c r="J65" s="151"/>
    </row>
    <row r="66" spans="1:10" ht="12" customHeight="1">
      <c r="A66" s="189" t="s">
        <v>19</v>
      </c>
      <c r="B66" s="152" t="s">
        <v>6</v>
      </c>
      <c r="C66" s="153" t="s">
        <v>7</v>
      </c>
      <c r="D66" s="153" t="s">
        <v>5</v>
      </c>
      <c r="E66" s="152" t="s">
        <v>6</v>
      </c>
      <c r="F66" s="153" t="s">
        <v>7</v>
      </c>
      <c r="G66" s="153" t="s">
        <v>5</v>
      </c>
      <c r="H66" s="152" t="s">
        <v>6</v>
      </c>
      <c r="I66" s="153" t="s">
        <v>7</v>
      </c>
      <c r="J66" s="153" t="s">
        <v>5</v>
      </c>
    </row>
    <row r="67" spans="1:10" ht="12" customHeight="1">
      <c r="A67" s="154"/>
      <c r="B67" s="155"/>
      <c r="C67" s="156"/>
      <c r="D67" s="156"/>
      <c r="E67" s="155"/>
      <c r="F67" s="156"/>
      <c r="G67" s="156"/>
      <c r="H67" s="155"/>
      <c r="I67" s="156"/>
      <c r="J67" s="156"/>
    </row>
    <row r="68" spans="1:10" ht="12" customHeight="1">
      <c r="A68" s="140" t="s">
        <v>20</v>
      </c>
      <c r="B68" s="157">
        <v>0</v>
      </c>
      <c r="C68" s="145">
        <v>0</v>
      </c>
      <c r="D68" s="145">
        <f>SUM(B68:C68)</f>
        <v>0</v>
      </c>
      <c r="E68" s="157">
        <v>1</v>
      </c>
      <c r="F68" s="145">
        <v>3</v>
      </c>
      <c r="G68" s="145">
        <f aca="true" t="shared" si="20" ref="G68:G76">SUM(E68:F68)</f>
        <v>4</v>
      </c>
      <c r="H68" s="157">
        <f>SUM(B68,E68)</f>
        <v>1</v>
      </c>
      <c r="I68" s="145">
        <f>SUM(C68,F68)</f>
        <v>3</v>
      </c>
      <c r="J68" s="145">
        <f aca="true" t="shared" si="21" ref="J68:J76">SUM(H68:I68)</f>
        <v>4</v>
      </c>
    </row>
    <row r="69" spans="1:10" ht="12" customHeight="1">
      <c r="A69" s="140" t="s">
        <v>21</v>
      </c>
      <c r="B69" s="157">
        <v>0</v>
      </c>
      <c r="C69" s="145">
        <v>0</v>
      </c>
      <c r="D69" s="145">
        <f aca="true" t="shared" si="22" ref="D69:D76">SUM(B69:C69)</f>
        <v>0</v>
      </c>
      <c r="E69" s="157">
        <v>1</v>
      </c>
      <c r="F69" s="145">
        <v>4</v>
      </c>
      <c r="G69" s="145">
        <f t="shared" si="20"/>
        <v>5</v>
      </c>
      <c r="H69" s="157">
        <f aca="true" t="shared" si="23" ref="H69:I76">SUM(B69,E69)</f>
        <v>1</v>
      </c>
      <c r="I69" s="145">
        <f t="shared" si="23"/>
        <v>4</v>
      </c>
      <c r="J69" s="145">
        <f t="shared" si="21"/>
        <v>5</v>
      </c>
    </row>
    <row r="70" spans="1:10" ht="12" customHeight="1">
      <c r="A70" s="140" t="s">
        <v>22</v>
      </c>
      <c r="B70" s="157">
        <v>0</v>
      </c>
      <c r="C70" s="145">
        <v>1</v>
      </c>
      <c r="D70" s="145">
        <f t="shared" si="22"/>
        <v>1</v>
      </c>
      <c r="E70" s="157">
        <v>1</v>
      </c>
      <c r="F70" s="145">
        <v>1</v>
      </c>
      <c r="G70" s="145">
        <f t="shared" si="20"/>
        <v>2</v>
      </c>
      <c r="H70" s="157">
        <f t="shared" si="23"/>
        <v>1</v>
      </c>
      <c r="I70" s="145">
        <f t="shared" si="23"/>
        <v>2</v>
      </c>
      <c r="J70" s="145">
        <f t="shared" si="21"/>
        <v>3</v>
      </c>
    </row>
    <row r="71" spans="1:10" ht="12" customHeight="1">
      <c r="A71" s="140" t="s">
        <v>23</v>
      </c>
      <c r="B71" s="155">
        <v>0</v>
      </c>
      <c r="C71" s="145">
        <v>1</v>
      </c>
      <c r="D71" s="145">
        <f t="shared" si="22"/>
        <v>1</v>
      </c>
      <c r="E71" s="157">
        <v>0</v>
      </c>
      <c r="F71" s="145">
        <v>1</v>
      </c>
      <c r="G71" s="145">
        <f t="shared" si="20"/>
        <v>1</v>
      </c>
      <c r="H71" s="157">
        <f t="shared" si="23"/>
        <v>0</v>
      </c>
      <c r="I71" s="145">
        <f t="shared" si="23"/>
        <v>2</v>
      </c>
      <c r="J71" s="145">
        <f t="shared" si="21"/>
        <v>2</v>
      </c>
    </row>
    <row r="72" spans="1:10" ht="12" customHeight="1">
      <c r="A72" s="140" t="s">
        <v>24</v>
      </c>
      <c r="B72" s="155">
        <v>0</v>
      </c>
      <c r="C72" s="145">
        <v>2</v>
      </c>
      <c r="D72" s="145">
        <f t="shared" si="22"/>
        <v>2</v>
      </c>
      <c r="E72" s="157">
        <v>0</v>
      </c>
      <c r="F72" s="145">
        <v>0</v>
      </c>
      <c r="G72" s="145">
        <f t="shared" si="20"/>
        <v>0</v>
      </c>
      <c r="H72" s="157">
        <f t="shared" si="23"/>
        <v>0</v>
      </c>
      <c r="I72" s="145">
        <f t="shared" si="23"/>
        <v>2</v>
      </c>
      <c r="J72" s="145">
        <f t="shared" si="21"/>
        <v>2</v>
      </c>
    </row>
    <row r="73" spans="1:10" ht="12" customHeight="1">
      <c r="A73" s="140" t="s">
        <v>25</v>
      </c>
      <c r="B73" s="155">
        <v>1</v>
      </c>
      <c r="C73" s="145">
        <v>0</v>
      </c>
      <c r="D73" s="145">
        <f t="shared" si="22"/>
        <v>1</v>
      </c>
      <c r="E73" s="157">
        <v>0</v>
      </c>
      <c r="F73" s="145">
        <v>0</v>
      </c>
      <c r="G73" s="145">
        <f t="shared" si="20"/>
        <v>0</v>
      </c>
      <c r="H73" s="157">
        <f t="shared" si="23"/>
        <v>1</v>
      </c>
      <c r="I73" s="145">
        <f t="shared" si="23"/>
        <v>0</v>
      </c>
      <c r="J73" s="145">
        <f t="shared" si="21"/>
        <v>1</v>
      </c>
    </row>
    <row r="74" spans="1:10" ht="12" customHeight="1">
      <c r="A74" s="140" t="s">
        <v>26</v>
      </c>
      <c r="B74" s="155">
        <v>1</v>
      </c>
      <c r="C74" s="145">
        <v>2</v>
      </c>
      <c r="D74" s="145">
        <f t="shared" si="22"/>
        <v>3</v>
      </c>
      <c r="E74" s="157">
        <v>0</v>
      </c>
      <c r="F74" s="145">
        <v>0</v>
      </c>
      <c r="G74" s="145">
        <f t="shared" si="20"/>
        <v>0</v>
      </c>
      <c r="H74" s="157">
        <f t="shared" si="23"/>
        <v>1</v>
      </c>
      <c r="I74" s="145">
        <f t="shared" si="23"/>
        <v>2</v>
      </c>
      <c r="J74" s="145">
        <f t="shared" si="21"/>
        <v>3</v>
      </c>
    </row>
    <row r="75" spans="1:10" ht="12" customHeight="1">
      <c r="A75" s="140" t="s">
        <v>27</v>
      </c>
      <c r="B75" s="155">
        <v>0</v>
      </c>
      <c r="C75" s="145">
        <v>1</v>
      </c>
      <c r="D75" s="145">
        <f t="shared" si="22"/>
        <v>1</v>
      </c>
      <c r="E75" s="157">
        <v>0</v>
      </c>
      <c r="F75" s="145">
        <v>0</v>
      </c>
      <c r="G75" s="145">
        <f t="shared" si="20"/>
        <v>0</v>
      </c>
      <c r="H75" s="157">
        <f t="shared" si="23"/>
        <v>0</v>
      </c>
      <c r="I75" s="145">
        <f t="shared" si="23"/>
        <v>1</v>
      </c>
      <c r="J75" s="145">
        <f t="shared" si="21"/>
        <v>1</v>
      </c>
    </row>
    <row r="76" spans="1:10" ht="12" customHeight="1">
      <c r="A76" s="140" t="s">
        <v>28</v>
      </c>
      <c r="B76" s="155">
        <v>0</v>
      </c>
      <c r="C76" s="145">
        <v>0</v>
      </c>
      <c r="D76" s="158">
        <f t="shared" si="22"/>
        <v>0</v>
      </c>
      <c r="E76" s="157">
        <v>0</v>
      </c>
      <c r="F76" s="145">
        <v>0</v>
      </c>
      <c r="G76" s="158">
        <f t="shared" si="20"/>
        <v>0</v>
      </c>
      <c r="H76" s="157">
        <f t="shared" si="23"/>
        <v>0</v>
      </c>
      <c r="I76" s="145">
        <f t="shared" si="23"/>
        <v>0</v>
      </c>
      <c r="J76" s="158">
        <f t="shared" si="21"/>
        <v>0</v>
      </c>
    </row>
    <row r="77" spans="1:10" ht="12" customHeight="1">
      <c r="A77" s="159" t="s">
        <v>5</v>
      </c>
      <c r="B77" s="160">
        <f>SUM(B68:B76)</f>
        <v>2</v>
      </c>
      <c r="C77" s="161">
        <f aca="true" t="shared" si="24" ref="C77:J77">SUM(C68:C76)</f>
        <v>7</v>
      </c>
      <c r="D77" s="161">
        <f t="shared" si="24"/>
        <v>9</v>
      </c>
      <c r="E77" s="160">
        <f t="shared" si="24"/>
        <v>3</v>
      </c>
      <c r="F77" s="161">
        <f t="shared" si="24"/>
        <v>9</v>
      </c>
      <c r="G77" s="161">
        <f t="shared" si="24"/>
        <v>12</v>
      </c>
      <c r="H77" s="160">
        <f t="shared" si="24"/>
        <v>5</v>
      </c>
      <c r="I77" s="161">
        <f t="shared" si="24"/>
        <v>16</v>
      </c>
      <c r="J77" s="161">
        <f t="shared" si="24"/>
        <v>21</v>
      </c>
    </row>
    <row r="79" spans="1:10" ht="12" customHeight="1">
      <c r="A79" s="142" t="s">
        <v>11</v>
      </c>
      <c r="B79" s="146"/>
      <c r="C79" s="146"/>
      <c r="D79" s="146"/>
      <c r="E79" s="146"/>
      <c r="F79" s="147"/>
      <c r="G79" s="146"/>
      <c r="H79" s="146"/>
      <c r="I79" s="146"/>
      <c r="J79" s="146"/>
    </row>
    <row r="80" spans="1:10" ht="12" customHeight="1" thickBot="1">
      <c r="A80" s="140"/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2" customHeight="1">
      <c r="A81" s="149"/>
      <c r="B81" s="150" t="s">
        <v>3</v>
      </c>
      <c r="C81" s="151"/>
      <c r="D81" s="151"/>
      <c r="E81" s="150" t="s">
        <v>4</v>
      </c>
      <c r="F81" s="151"/>
      <c r="G81" s="151"/>
      <c r="H81" s="150" t="s">
        <v>5</v>
      </c>
      <c r="I81" s="151"/>
      <c r="J81" s="151"/>
    </row>
    <row r="82" spans="1:10" ht="12" customHeight="1">
      <c r="A82" s="189" t="s">
        <v>19</v>
      </c>
      <c r="B82" s="152" t="s">
        <v>6</v>
      </c>
      <c r="C82" s="153" t="s">
        <v>7</v>
      </c>
      <c r="D82" s="153" t="s">
        <v>5</v>
      </c>
      <c r="E82" s="152" t="s">
        <v>6</v>
      </c>
      <c r="F82" s="153" t="s">
        <v>7</v>
      </c>
      <c r="G82" s="153" t="s">
        <v>5</v>
      </c>
      <c r="H82" s="152" t="s">
        <v>6</v>
      </c>
      <c r="I82" s="153" t="s">
        <v>7</v>
      </c>
      <c r="J82" s="153" t="s">
        <v>5</v>
      </c>
    </row>
    <row r="83" spans="1:10" ht="12" customHeight="1">
      <c r="A83" s="154"/>
      <c r="B83" s="155"/>
      <c r="C83" s="156"/>
      <c r="D83" s="156"/>
      <c r="E83" s="155"/>
      <c r="F83" s="156"/>
      <c r="G83" s="156"/>
      <c r="H83" s="155"/>
      <c r="I83" s="156"/>
      <c r="J83" s="156"/>
    </row>
    <row r="84" spans="1:10" ht="12" customHeight="1">
      <c r="A84" s="140" t="s">
        <v>20</v>
      </c>
      <c r="B84" s="157">
        <v>0</v>
      </c>
      <c r="C84" s="145">
        <v>0</v>
      </c>
      <c r="D84" s="145">
        <f>SUM(B84:C84)</f>
        <v>0</v>
      </c>
      <c r="E84" s="157">
        <v>2</v>
      </c>
      <c r="F84" s="145">
        <v>2</v>
      </c>
      <c r="G84" s="145">
        <f aca="true" t="shared" si="25" ref="G84:G92">SUM(E84:F84)</f>
        <v>4</v>
      </c>
      <c r="H84" s="157">
        <f>SUM(B84,E84)</f>
        <v>2</v>
      </c>
      <c r="I84" s="145">
        <f>SUM(C84,F84)</f>
        <v>2</v>
      </c>
      <c r="J84" s="145">
        <f aca="true" t="shared" si="26" ref="J84:J92">SUM(H84:I84)</f>
        <v>4</v>
      </c>
    </row>
    <row r="85" spans="1:10" ht="12" customHeight="1">
      <c r="A85" s="140" t="s">
        <v>21</v>
      </c>
      <c r="B85" s="157">
        <v>0</v>
      </c>
      <c r="C85" s="145">
        <v>0</v>
      </c>
      <c r="D85" s="145">
        <f aca="true" t="shared" si="27" ref="D85:D92">SUM(B85:C85)</f>
        <v>0</v>
      </c>
      <c r="E85" s="157">
        <v>4</v>
      </c>
      <c r="F85" s="145">
        <v>16</v>
      </c>
      <c r="G85" s="145">
        <f t="shared" si="25"/>
        <v>20</v>
      </c>
      <c r="H85" s="157">
        <f aca="true" t="shared" si="28" ref="H85:I92">SUM(B85,E85)</f>
        <v>4</v>
      </c>
      <c r="I85" s="145">
        <f t="shared" si="28"/>
        <v>16</v>
      </c>
      <c r="J85" s="145">
        <f t="shared" si="26"/>
        <v>20</v>
      </c>
    </row>
    <row r="86" spans="1:10" ht="12" customHeight="1">
      <c r="A86" s="140" t="s">
        <v>22</v>
      </c>
      <c r="B86" s="157">
        <v>1</v>
      </c>
      <c r="C86" s="145">
        <v>15</v>
      </c>
      <c r="D86" s="145">
        <f t="shared" si="27"/>
        <v>16</v>
      </c>
      <c r="E86" s="157">
        <v>0</v>
      </c>
      <c r="F86" s="145">
        <v>9</v>
      </c>
      <c r="G86" s="145">
        <f t="shared" si="25"/>
        <v>9</v>
      </c>
      <c r="H86" s="157">
        <f t="shared" si="28"/>
        <v>1</v>
      </c>
      <c r="I86" s="145">
        <f t="shared" si="28"/>
        <v>24</v>
      </c>
      <c r="J86" s="145">
        <f t="shared" si="26"/>
        <v>25</v>
      </c>
    </row>
    <row r="87" spans="1:10" ht="12" customHeight="1">
      <c r="A87" s="140" t="s">
        <v>23</v>
      </c>
      <c r="B87" s="155">
        <v>2</v>
      </c>
      <c r="C87" s="145">
        <v>14</v>
      </c>
      <c r="D87" s="145">
        <f t="shared" si="27"/>
        <v>16</v>
      </c>
      <c r="E87" s="157">
        <v>1</v>
      </c>
      <c r="F87" s="145">
        <v>11</v>
      </c>
      <c r="G87" s="145">
        <f t="shared" si="25"/>
        <v>12</v>
      </c>
      <c r="H87" s="157">
        <f t="shared" si="28"/>
        <v>3</v>
      </c>
      <c r="I87" s="145">
        <f t="shared" si="28"/>
        <v>25</v>
      </c>
      <c r="J87" s="145">
        <f t="shared" si="26"/>
        <v>28</v>
      </c>
    </row>
    <row r="88" spans="1:10" ht="12" customHeight="1">
      <c r="A88" s="140" t="s">
        <v>24</v>
      </c>
      <c r="B88" s="155">
        <v>3</v>
      </c>
      <c r="C88" s="145">
        <v>3</v>
      </c>
      <c r="D88" s="145">
        <f t="shared" si="27"/>
        <v>6</v>
      </c>
      <c r="E88" s="157">
        <v>1</v>
      </c>
      <c r="F88" s="145">
        <v>8</v>
      </c>
      <c r="G88" s="145">
        <f t="shared" si="25"/>
        <v>9</v>
      </c>
      <c r="H88" s="157">
        <f t="shared" si="28"/>
        <v>4</v>
      </c>
      <c r="I88" s="145">
        <f t="shared" si="28"/>
        <v>11</v>
      </c>
      <c r="J88" s="145">
        <f t="shared" si="26"/>
        <v>15</v>
      </c>
    </row>
    <row r="89" spans="1:10" ht="12" customHeight="1">
      <c r="A89" s="140" t="s">
        <v>25</v>
      </c>
      <c r="B89" s="155">
        <v>4</v>
      </c>
      <c r="C89" s="145">
        <v>12</v>
      </c>
      <c r="D89" s="145">
        <f t="shared" si="27"/>
        <v>16</v>
      </c>
      <c r="E89" s="157">
        <v>1</v>
      </c>
      <c r="F89" s="145">
        <v>5</v>
      </c>
      <c r="G89" s="145">
        <f t="shared" si="25"/>
        <v>6</v>
      </c>
      <c r="H89" s="157">
        <f t="shared" si="28"/>
        <v>5</v>
      </c>
      <c r="I89" s="145">
        <f t="shared" si="28"/>
        <v>17</v>
      </c>
      <c r="J89" s="145">
        <f t="shared" si="26"/>
        <v>22</v>
      </c>
    </row>
    <row r="90" spans="1:10" ht="12" customHeight="1">
      <c r="A90" s="140" t="s">
        <v>26</v>
      </c>
      <c r="B90" s="155">
        <v>0</v>
      </c>
      <c r="C90" s="145">
        <v>12</v>
      </c>
      <c r="D90" s="145">
        <f t="shared" si="27"/>
        <v>12</v>
      </c>
      <c r="E90" s="157">
        <v>0</v>
      </c>
      <c r="F90" s="145">
        <v>2</v>
      </c>
      <c r="G90" s="145">
        <f t="shared" si="25"/>
        <v>2</v>
      </c>
      <c r="H90" s="157">
        <f t="shared" si="28"/>
        <v>0</v>
      </c>
      <c r="I90" s="145">
        <f t="shared" si="28"/>
        <v>14</v>
      </c>
      <c r="J90" s="145">
        <f t="shared" si="26"/>
        <v>14</v>
      </c>
    </row>
    <row r="91" spans="1:10" ht="12" customHeight="1">
      <c r="A91" s="140" t="s">
        <v>27</v>
      </c>
      <c r="B91" s="155">
        <v>4</v>
      </c>
      <c r="C91" s="145">
        <v>17</v>
      </c>
      <c r="D91" s="145">
        <f t="shared" si="27"/>
        <v>21</v>
      </c>
      <c r="E91" s="157">
        <v>0</v>
      </c>
      <c r="F91" s="145">
        <v>0</v>
      </c>
      <c r="G91" s="145">
        <f t="shared" si="25"/>
        <v>0</v>
      </c>
      <c r="H91" s="157">
        <f t="shared" si="28"/>
        <v>4</v>
      </c>
      <c r="I91" s="145">
        <f t="shared" si="28"/>
        <v>17</v>
      </c>
      <c r="J91" s="145">
        <f t="shared" si="26"/>
        <v>21</v>
      </c>
    </row>
    <row r="92" spans="1:10" ht="12" customHeight="1">
      <c r="A92" s="140" t="s">
        <v>28</v>
      </c>
      <c r="B92" s="155">
        <v>1</v>
      </c>
      <c r="C92" s="145">
        <v>6</v>
      </c>
      <c r="D92" s="158">
        <f t="shared" si="27"/>
        <v>7</v>
      </c>
      <c r="E92" s="157">
        <v>0</v>
      </c>
      <c r="F92" s="145">
        <v>0</v>
      </c>
      <c r="G92" s="158">
        <f t="shared" si="25"/>
        <v>0</v>
      </c>
      <c r="H92" s="157">
        <f t="shared" si="28"/>
        <v>1</v>
      </c>
      <c r="I92" s="145">
        <f t="shared" si="28"/>
        <v>6</v>
      </c>
      <c r="J92" s="158">
        <f t="shared" si="26"/>
        <v>7</v>
      </c>
    </row>
    <row r="93" spans="1:10" ht="12" customHeight="1">
      <c r="A93" s="159" t="s">
        <v>5</v>
      </c>
      <c r="B93" s="160">
        <f>SUM(B84:B92)</f>
        <v>15</v>
      </c>
      <c r="C93" s="161">
        <f aca="true" t="shared" si="29" ref="C93:J93">SUM(C84:C92)</f>
        <v>79</v>
      </c>
      <c r="D93" s="161">
        <f t="shared" si="29"/>
        <v>94</v>
      </c>
      <c r="E93" s="160">
        <f>SUM(E84:E92)</f>
        <v>9</v>
      </c>
      <c r="F93" s="161">
        <f t="shared" si="29"/>
        <v>53</v>
      </c>
      <c r="G93" s="161">
        <f t="shared" si="29"/>
        <v>62</v>
      </c>
      <c r="H93" s="160">
        <f t="shared" si="29"/>
        <v>24</v>
      </c>
      <c r="I93" s="161">
        <f t="shared" si="29"/>
        <v>132</v>
      </c>
      <c r="J93" s="161">
        <f t="shared" si="29"/>
        <v>156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5" r:id="rId1"/>
  <headerFooter alignWithMargins="0">
    <oddFooter>&amp;R&amp;A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1.28125" style="2" customWidth="1"/>
    <col min="2" max="7" width="7.8515625" style="2" customWidth="1"/>
    <col min="8" max="10" width="8.28125" style="2" customWidth="1"/>
    <col min="11" max="13" width="8.421875" style="2" customWidth="1"/>
    <col min="14" max="16384" width="9.140625" style="2" customWidth="1"/>
  </cols>
  <sheetData>
    <row r="1" ht="12.75">
      <c r="A1" s="1" t="s">
        <v>60</v>
      </c>
    </row>
    <row r="2" spans="1:13" ht="12.75">
      <c r="A2" s="3" t="s">
        <v>14</v>
      </c>
      <c r="B2" s="4"/>
      <c r="C2" s="5"/>
      <c r="D2" s="4"/>
      <c r="E2" s="4"/>
      <c r="F2" s="4"/>
      <c r="G2" s="4"/>
      <c r="H2" s="5"/>
      <c r="I2" s="5"/>
      <c r="J2" s="4"/>
      <c r="K2" s="5"/>
      <c r="L2" s="4"/>
      <c r="M2" s="4"/>
    </row>
    <row r="3" spans="1:13" ht="12.75">
      <c r="A3" s="3"/>
      <c r="B3" s="4"/>
      <c r="C3" s="3"/>
      <c r="D3" s="4"/>
      <c r="E3" s="4"/>
      <c r="F3" s="4"/>
      <c r="G3" s="4"/>
      <c r="H3" s="5"/>
      <c r="I3" s="5"/>
      <c r="J3" s="4"/>
      <c r="K3" s="5"/>
      <c r="L3" s="4"/>
      <c r="M3" s="4"/>
    </row>
    <row r="4" spans="1:13" ht="12.75">
      <c r="A4" s="3" t="s">
        <v>61</v>
      </c>
      <c r="B4" s="4"/>
      <c r="C4" s="3"/>
      <c r="D4" s="4"/>
      <c r="E4" s="4"/>
      <c r="F4" s="4"/>
      <c r="G4" s="4"/>
      <c r="H4" s="5"/>
      <c r="I4" s="5"/>
      <c r="J4" s="4"/>
      <c r="K4" s="5"/>
      <c r="L4" s="4"/>
      <c r="M4" s="4"/>
    </row>
    <row r="5" spans="1:13" ht="12.75">
      <c r="A5" s="3"/>
      <c r="B5" s="4"/>
      <c r="C5" s="3"/>
      <c r="D5" s="4"/>
      <c r="E5" s="4"/>
      <c r="F5" s="4"/>
      <c r="G5" s="4"/>
      <c r="H5" s="5"/>
      <c r="I5" s="5"/>
      <c r="J5" s="4"/>
      <c r="K5" s="5"/>
      <c r="L5" s="4"/>
      <c r="M5" s="4"/>
    </row>
    <row r="6" spans="1:13" ht="12.75">
      <c r="A6" s="3" t="s">
        <v>46</v>
      </c>
      <c r="B6" s="4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ht="14.25" customHeight="1" thickBot="1"/>
    <row r="8" spans="1:13" s="12" customFormat="1" ht="12.75">
      <c r="A8" s="6"/>
      <c r="B8" s="203" t="s">
        <v>41</v>
      </c>
      <c r="C8" s="204"/>
      <c r="D8" s="205"/>
      <c r="E8" s="209" t="s">
        <v>42</v>
      </c>
      <c r="F8" s="210"/>
      <c r="G8" s="211"/>
      <c r="H8" s="209" t="s">
        <v>43</v>
      </c>
      <c r="I8" s="210"/>
      <c r="J8" s="211"/>
      <c r="K8" s="209" t="s">
        <v>5</v>
      </c>
      <c r="L8" s="210"/>
      <c r="M8" s="210"/>
    </row>
    <row r="9" spans="1:13" ht="21.75" customHeight="1">
      <c r="A9" s="12"/>
      <c r="B9" s="206"/>
      <c r="C9" s="207"/>
      <c r="D9" s="208"/>
      <c r="E9" s="212"/>
      <c r="F9" s="213"/>
      <c r="G9" s="214"/>
      <c r="H9" s="212"/>
      <c r="I9" s="213"/>
      <c r="J9" s="214"/>
      <c r="K9" s="212"/>
      <c r="L9" s="213"/>
      <c r="M9" s="213"/>
    </row>
    <row r="10" spans="1:13" ht="12.75">
      <c r="A10" s="11"/>
      <c r="B10" s="167" t="s">
        <v>6</v>
      </c>
      <c r="C10" s="27" t="s">
        <v>7</v>
      </c>
      <c r="D10" s="27" t="s">
        <v>5</v>
      </c>
      <c r="E10" s="167" t="s">
        <v>6</v>
      </c>
      <c r="F10" s="27" t="s">
        <v>7</v>
      </c>
      <c r="G10" s="27" t="s">
        <v>5</v>
      </c>
      <c r="H10" s="167" t="s">
        <v>6</v>
      </c>
      <c r="I10" s="27" t="s">
        <v>7</v>
      </c>
      <c r="J10" s="27" t="s">
        <v>5</v>
      </c>
      <c r="K10" s="167" t="s">
        <v>6</v>
      </c>
      <c r="L10" s="27" t="s">
        <v>7</v>
      </c>
      <c r="M10" s="27" t="s">
        <v>5</v>
      </c>
    </row>
    <row r="11" spans="1:13" ht="12.75">
      <c r="A11" s="12"/>
      <c r="B11" s="13"/>
      <c r="C11" s="14"/>
      <c r="D11" s="14"/>
      <c r="E11" s="13"/>
      <c r="F11" s="14"/>
      <c r="G11" s="14"/>
      <c r="H11" s="13"/>
      <c r="I11" s="14"/>
      <c r="J11" s="14"/>
      <c r="K11" s="13"/>
      <c r="L11" s="14"/>
      <c r="M11" s="14"/>
    </row>
    <row r="12" spans="1:13" ht="12.75">
      <c r="A12" s="2" t="s">
        <v>31</v>
      </c>
      <c r="B12" s="22">
        <v>1552</v>
      </c>
      <c r="C12" s="19">
        <v>3056</v>
      </c>
      <c r="D12" s="19">
        <f>SUM(B12:C12)</f>
        <v>4608</v>
      </c>
      <c r="E12" s="22">
        <v>1495</v>
      </c>
      <c r="F12" s="19">
        <v>2638</v>
      </c>
      <c r="G12" s="19">
        <f>SUM(E12:F12)</f>
        <v>4133</v>
      </c>
      <c r="H12" s="18">
        <f aca="true" t="shared" si="0" ref="H12:I15">K12-B12-E12</f>
        <v>1401</v>
      </c>
      <c r="I12" s="19">
        <f t="shared" si="0"/>
        <v>1179</v>
      </c>
      <c r="J12" s="19">
        <f>SUM(H12:I12)</f>
        <v>2580</v>
      </c>
      <c r="K12" s="18">
        <v>4448</v>
      </c>
      <c r="L12" s="19">
        <v>6873</v>
      </c>
      <c r="M12" s="19">
        <f>SUM(K12:L12)</f>
        <v>11321</v>
      </c>
    </row>
    <row r="13" spans="1:13" ht="12.75">
      <c r="A13" s="2" t="s">
        <v>9</v>
      </c>
      <c r="B13" s="22">
        <v>5151</v>
      </c>
      <c r="C13" s="19">
        <v>11625</v>
      </c>
      <c r="D13" s="19">
        <f>SUM(B13:C13)</f>
        <v>16776</v>
      </c>
      <c r="E13" s="22">
        <v>5368</v>
      </c>
      <c r="F13" s="19">
        <v>9166</v>
      </c>
      <c r="G13" s="19">
        <f>SUM(E13:F13)</f>
        <v>14534</v>
      </c>
      <c r="H13" s="18">
        <f t="shared" si="0"/>
        <v>3691</v>
      </c>
      <c r="I13" s="19">
        <f t="shared" si="0"/>
        <v>2310</v>
      </c>
      <c r="J13" s="19">
        <f>SUM(H13:I13)</f>
        <v>6001</v>
      </c>
      <c r="K13" s="18">
        <v>14210</v>
      </c>
      <c r="L13" s="19">
        <v>23101</v>
      </c>
      <c r="M13" s="19">
        <f>SUM(K13:L13)</f>
        <v>37311</v>
      </c>
    </row>
    <row r="14" spans="1:13" ht="12.75">
      <c r="A14" s="2" t="s">
        <v>10</v>
      </c>
      <c r="B14" s="22">
        <v>301</v>
      </c>
      <c r="C14" s="23">
        <v>515</v>
      </c>
      <c r="D14" s="19">
        <f>SUM(B14:C14)</f>
        <v>816</v>
      </c>
      <c r="E14" s="22">
        <v>235</v>
      </c>
      <c r="F14" s="23">
        <v>338</v>
      </c>
      <c r="G14" s="19">
        <f>SUM(E14:F14)</f>
        <v>573</v>
      </c>
      <c r="H14" s="18">
        <f t="shared" si="0"/>
        <v>520</v>
      </c>
      <c r="I14" s="19">
        <f t="shared" si="0"/>
        <v>191</v>
      </c>
      <c r="J14" s="19">
        <f>SUM(H14:I14)</f>
        <v>711</v>
      </c>
      <c r="K14" s="18">
        <v>1056</v>
      </c>
      <c r="L14" s="19">
        <v>1044</v>
      </c>
      <c r="M14" s="19">
        <f>SUM(K14:L14)</f>
        <v>2100</v>
      </c>
    </row>
    <row r="15" spans="1:13" ht="12.75">
      <c r="A15" s="2" t="s">
        <v>11</v>
      </c>
      <c r="B15" s="18">
        <v>445</v>
      </c>
      <c r="C15" s="19">
        <v>649</v>
      </c>
      <c r="D15" s="19">
        <f>SUM(B15:C15)</f>
        <v>1094</v>
      </c>
      <c r="E15" s="18">
        <v>343</v>
      </c>
      <c r="F15" s="19">
        <v>551</v>
      </c>
      <c r="G15" s="19">
        <f>SUM(E15:F15)</f>
        <v>894</v>
      </c>
      <c r="H15" s="18">
        <f t="shared" si="0"/>
        <v>512</v>
      </c>
      <c r="I15" s="19">
        <f t="shared" si="0"/>
        <v>323</v>
      </c>
      <c r="J15" s="19">
        <f>SUM(H15:I15)</f>
        <v>835</v>
      </c>
      <c r="K15" s="18">
        <v>1300</v>
      </c>
      <c r="L15" s="19">
        <v>1523</v>
      </c>
      <c r="M15" s="19">
        <f>SUM(K15:L15)</f>
        <v>2823</v>
      </c>
    </row>
    <row r="16" spans="1:13" s="1" customFormat="1" ht="12.75">
      <c r="A16" s="16" t="s">
        <v>5</v>
      </c>
      <c r="B16" s="20">
        <f>SUM(B12:B15)</f>
        <v>7449</v>
      </c>
      <c r="C16" s="21">
        <f aca="true" t="shared" si="1" ref="C16:M16">SUM(C12:C15)</f>
        <v>15845</v>
      </c>
      <c r="D16" s="21">
        <f t="shared" si="1"/>
        <v>23294</v>
      </c>
      <c r="E16" s="20">
        <f t="shared" si="1"/>
        <v>7441</v>
      </c>
      <c r="F16" s="21">
        <f t="shared" si="1"/>
        <v>12693</v>
      </c>
      <c r="G16" s="21">
        <f t="shared" si="1"/>
        <v>20134</v>
      </c>
      <c r="H16" s="20">
        <f t="shared" si="1"/>
        <v>6124</v>
      </c>
      <c r="I16" s="21">
        <f t="shared" si="1"/>
        <v>4003</v>
      </c>
      <c r="J16" s="21">
        <f t="shared" si="1"/>
        <v>10127</v>
      </c>
      <c r="K16" s="20">
        <f t="shared" si="1"/>
        <v>21014</v>
      </c>
      <c r="L16" s="21">
        <f t="shared" si="1"/>
        <v>32541</v>
      </c>
      <c r="M16" s="21">
        <f t="shared" si="1"/>
        <v>53555</v>
      </c>
    </row>
    <row r="18" ht="12.75">
      <c r="A18" s="2" t="s">
        <v>44</v>
      </c>
    </row>
    <row r="19" ht="12.75">
      <c r="A19" s="2" t="s">
        <v>40</v>
      </c>
    </row>
    <row r="20" ht="12.75">
      <c r="A20" s="2" t="s">
        <v>36</v>
      </c>
    </row>
    <row r="21" s="190" customFormat="1" ht="12.75">
      <c r="A21" s="190" t="s">
        <v>45</v>
      </c>
    </row>
    <row r="22" s="190" customFormat="1" ht="12.75">
      <c r="A22" s="190" t="s">
        <v>39</v>
      </c>
    </row>
    <row r="23" s="190" customFormat="1" ht="12.75">
      <c r="A23" s="190" t="s">
        <v>37</v>
      </c>
    </row>
    <row r="24" s="190" customFormat="1" ht="12.75">
      <c r="A24" s="190" t="s">
        <v>38</v>
      </c>
    </row>
    <row r="25" s="190" customFormat="1" ht="12.75">
      <c r="A25" s="190" t="s">
        <v>58</v>
      </c>
    </row>
    <row r="26" s="190" customFormat="1" ht="12.75">
      <c r="A26" s="190" t="s">
        <v>59</v>
      </c>
    </row>
    <row r="27" s="190" customFormat="1" ht="12.75"/>
  </sheetData>
  <sheetProtection/>
  <mergeCells count="4">
    <mergeCell ref="B8:D9"/>
    <mergeCell ref="E8:G9"/>
    <mergeCell ref="H8:J9"/>
    <mergeCell ref="K8:M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1200" verticalDpi="1200" orientation="landscape" paperSize="9" scale="9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33.00390625" style="2" customWidth="1"/>
    <col min="2" max="2" width="11.421875" style="2" customWidth="1"/>
    <col min="3" max="3" width="10.7109375" style="2" customWidth="1"/>
    <col min="4" max="4" width="10.421875" style="2" customWidth="1"/>
    <col min="5" max="6" width="7.8515625" style="2" customWidth="1"/>
    <col min="7" max="7" width="9.57421875" style="2" customWidth="1"/>
    <col min="8" max="8" width="11.00390625" style="2" customWidth="1"/>
    <col min="9" max="9" width="9.8515625" style="2" customWidth="1"/>
    <col min="10" max="10" width="10.140625" style="2" customWidth="1"/>
    <col min="11" max="16384" width="9.140625" style="2" customWidth="1"/>
  </cols>
  <sheetData>
    <row r="1" spans="1:3" ht="12.75">
      <c r="A1" s="1" t="s">
        <v>60</v>
      </c>
      <c r="C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61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10" t="s">
        <v>5</v>
      </c>
      <c r="J8" s="9"/>
    </row>
    <row r="9" spans="1:10" ht="12.75">
      <c r="A9" s="11"/>
      <c r="B9" s="167" t="s">
        <v>6</v>
      </c>
      <c r="C9" s="27" t="s">
        <v>7</v>
      </c>
      <c r="D9" s="27" t="s">
        <v>5</v>
      </c>
      <c r="E9" s="167" t="s">
        <v>6</v>
      </c>
      <c r="F9" s="27" t="s">
        <v>7</v>
      </c>
      <c r="G9" s="27" t="s">
        <v>5</v>
      </c>
      <c r="H9" s="167" t="s">
        <v>6</v>
      </c>
      <c r="I9" s="27" t="s">
        <v>7</v>
      </c>
      <c r="J9" s="27" t="s">
        <v>5</v>
      </c>
    </row>
    <row r="10" spans="1:10" ht="12.7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8" ht="12.75">
      <c r="A11" s="1" t="s">
        <v>8</v>
      </c>
      <c r="B11" s="15"/>
      <c r="E11" s="15"/>
      <c r="H11" s="15"/>
    </row>
    <row r="12" spans="1:10" ht="12.75">
      <c r="A12" s="2" t="s">
        <v>32</v>
      </c>
      <c r="B12" s="22">
        <v>3023</v>
      </c>
      <c r="C12" s="19">
        <v>4826</v>
      </c>
      <c r="D12" s="19">
        <f>SUM(B12:C12)</f>
        <v>7849</v>
      </c>
      <c r="E12" s="18">
        <v>1425</v>
      </c>
      <c r="F12" s="19">
        <v>2047</v>
      </c>
      <c r="G12" s="19">
        <f>SUM(E12:F12)</f>
        <v>3472</v>
      </c>
      <c r="H12" s="18">
        <f aca="true" t="shared" si="0" ref="H12:I15">SUM(B12,E12)</f>
        <v>4448</v>
      </c>
      <c r="I12" s="19">
        <f t="shared" si="0"/>
        <v>6873</v>
      </c>
      <c r="J12" s="19">
        <f>SUM(H12:I12)</f>
        <v>11321</v>
      </c>
    </row>
    <row r="13" spans="1:10" ht="12.75">
      <c r="A13" s="2" t="s">
        <v>33</v>
      </c>
      <c r="B13" s="22">
        <v>11167</v>
      </c>
      <c r="C13" s="19">
        <v>17755</v>
      </c>
      <c r="D13" s="19">
        <f>SUM(B13:C13)</f>
        <v>28922</v>
      </c>
      <c r="E13" s="18">
        <v>3043</v>
      </c>
      <c r="F13" s="19">
        <v>5346</v>
      </c>
      <c r="G13" s="19">
        <f>SUM(E13:F13)</f>
        <v>8389</v>
      </c>
      <c r="H13" s="18">
        <f t="shared" si="0"/>
        <v>14210</v>
      </c>
      <c r="I13" s="19">
        <f t="shared" si="0"/>
        <v>23101</v>
      </c>
      <c r="J13" s="19">
        <f>SUM(H13:I13)</f>
        <v>37311</v>
      </c>
    </row>
    <row r="14" spans="1:10" ht="12.75">
      <c r="A14" s="2" t="s">
        <v>34</v>
      </c>
      <c r="B14" s="22">
        <v>818</v>
      </c>
      <c r="C14" s="23">
        <v>776</v>
      </c>
      <c r="D14" s="19">
        <f>SUM(B14:C14)</f>
        <v>1594</v>
      </c>
      <c r="E14" s="22">
        <v>238</v>
      </c>
      <c r="F14" s="19">
        <v>268</v>
      </c>
      <c r="G14" s="19">
        <f>SUM(E14:F14)</f>
        <v>506</v>
      </c>
      <c r="H14" s="18">
        <f t="shared" si="0"/>
        <v>1056</v>
      </c>
      <c r="I14" s="19">
        <f t="shared" si="0"/>
        <v>1044</v>
      </c>
      <c r="J14" s="19">
        <f>SUM(H14:I14)</f>
        <v>2100</v>
      </c>
    </row>
    <row r="15" spans="1:10" ht="12.75">
      <c r="A15" s="2" t="s">
        <v>35</v>
      </c>
      <c r="B15" s="18">
        <v>951</v>
      </c>
      <c r="C15" s="19">
        <v>1137</v>
      </c>
      <c r="D15" s="19">
        <f>SUM(B15:C15)</f>
        <v>2088</v>
      </c>
      <c r="E15" s="18">
        <v>349</v>
      </c>
      <c r="F15" s="19">
        <v>386</v>
      </c>
      <c r="G15" s="19">
        <f>SUM(E15:F15)</f>
        <v>735</v>
      </c>
      <c r="H15" s="18">
        <f t="shared" si="0"/>
        <v>1300</v>
      </c>
      <c r="I15" s="19">
        <f t="shared" si="0"/>
        <v>1523</v>
      </c>
      <c r="J15" s="19">
        <f>SUM(H15:I15)</f>
        <v>2823</v>
      </c>
    </row>
    <row r="16" spans="1:10" s="1" customFormat="1" ht="12.75">
      <c r="A16" s="16" t="s">
        <v>5</v>
      </c>
      <c r="B16" s="20">
        <f>SUM(B12:B15)</f>
        <v>15959</v>
      </c>
      <c r="C16" s="21">
        <f aca="true" t="shared" si="1" ref="C16:J16">SUM(C12:C15)</f>
        <v>24494</v>
      </c>
      <c r="D16" s="21">
        <f t="shared" si="1"/>
        <v>40453</v>
      </c>
      <c r="E16" s="20">
        <f t="shared" si="1"/>
        <v>5055</v>
      </c>
      <c r="F16" s="21">
        <f t="shared" si="1"/>
        <v>8047</v>
      </c>
      <c r="G16" s="21">
        <f t="shared" si="1"/>
        <v>13102</v>
      </c>
      <c r="H16" s="20">
        <f t="shared" si="1"/>
        <v>21014</v>
      </c>
      <c r="I16" s="21">
        <f t="shared" si="1"/>
        <v>32541</v>
      </c>
      <c r="J16" s="21">
        <f t="shared" si="1"/>
        <v>53555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32</v>
      </c>
      <c r="B19" s="22">
        <v>421</v>
      </c>
      <c r="C19" s="19">
        <v>821</v>
      </c>
      <c r="D19" s="19">
        <f>SUM(B19:C19)</f>
        <v>1242</v>
      </c>
      <c r="E19" s="18">
        <v>186</v>
      </c>
      <c r="F19" s="19">
        <v>344</v>
      </c>
      <c r="G19" s="19">
        <f>SUM(E19:F19)</f>
        <v>530</v>
      </c>
      <c r="H19" s="18">
        <f aca="true" t="shared" si="2" ref="H19:I22">SUM(B19,E19)</f>
        <v>607</v>
      </c>
      <c r="I19" s="19">
        <f t="shared" si="2"/>
        <v>1165</v>
      </c>
      <c r="J19" s="19">
        <f>SUM(H19:I19)</f>
        <v>1772</v>
      </c>
    </row>
    <row r="20" spans="1:10" ht="12.75">
      <c r="A20" s="2" t="s">
        <v>33</v>
      </c>
      <c r="B20" s="22">
        <v>1077</v>
      </c>
      <c r="C20" s="23">
        <v>2086</v>
      </c>
      <c r="D20" s="19">
        <f>SUM(B20:C20)</f>
        <v>3163</v>
      </c>
      <c r="E20" s="18">
        <v>374</v>
      </c>
      <c r="F20" s="19">
        <v>779</v>
      </c>
      <c r="G20" s="19">
        <f>SUM(E20:F20)</f>
        <v>1153</v>
      </c>
      <c r="H20" s="18">
        <f t="shared" si="2"/>
        <v>1451</v>
      </c>
      <c r="I20" s="19">
        <f t="shared" si="2"/>
        <v>2865</v>
      </c>
      <c r="J20" s="19">
        <f>SUM(H20:I20)</f>
        <v>4316</v>
      </c>
    </row>
    <row r="21" spans="1:10" ht="12.75">
      <c r="A21" s="2" t="s">
        <v>34</v>
      </c>
      <c r="B21" s="22">
        <v>39</v>
      </c>
      <c r="C21" s="24">
        <v>42</v>
      </c>
      <c r="D21" s="19">
        <f>SUM(B21:C21)</f>
        <v>81</v>
      </c>
      <c r="E21" s="22">
        <v>14</v>
      </c>
      <c r="F21" s="24">
        <v>14</v>
      </c>
      <c r="G21" s="19">
        <f>SUM(E21:F21)</f>
        <v>28</v>
      </c>
      <c r="H21" s="18">
        <f t="shared" si="2"/>
        <v>53</v>
      </c>
      <c r="I21" s="19">
        <f t="shared" si="2"/>
        <v>56</v>
      </c>
      <c r="J21" s="19">
        <f>SUM(H21:I21)</f>
        <v>109</v>
      </c>
    </row>
    <row r="22" spans="1:10" ht="12.75">
      <c r="A22" s="2" t="s">
        <v>35</v>
      </c>
      <c r="B22" s="22">
        <v>219</v>
      </c>
      <c r="C22" s="23">
        <v>357</v>
      </c>
      <c r="D22" s="19">
        <f>SUM(B22:C22)</f>
        <v>576</v>
      </c>
      <c r="E22" s="18">
        <v>66</v>
      </c>
      <c r="F22" s="19">
        <v>121</v>
      </c>
      <c r="G22" s="19">
        <f>SUM(E22:F22)</f>
        <v>187</v>
      </c>
      <c r="H22" s="18">
        <f t="shared" si="2"/>
        <v>285</v>
      </c>
      <c r="I22" s="19">
        <f t="shared" si="2"/>
        <v>478</v>
      </c>
      <c r="J22" s="19">
        <f>SUM(H22:I22)</f>
        <v>763</v>
      </c>
    </row>
    <row r="23" spans="1:10" s="1" customFormat="1" ht="12.75">
      <c r="A23" s="16" t="s">
        <v>5</v>
      </c>
      <c r="B23" s="25">
        <f aca="true" t="shared" si="3" ref="B23:J23">SUM(B19:B22)</f>
        <v>1756</v>
      </c>
      <c r="C23" s="21">
        <f t="shared" si="3"/>
        <v>3306</v>
      </c>
      <c r="D23" s="21">
        <f t="shared" si="3"/>
        <v>5062</v>
      </c>
      <c r="E23" s="20">
        <f t="shared" si="3"/>
        <v>640</v>
      </c>
      <c r="F23" s="21">
        <f t="shared" si="3"/>
        <v>1258</v>
      </c>
      <c r="G23" s="21">
        <f t="shared" si="3"/>
        <v>1898</v>
      </c>
      <c r="H23" s="20">
        <f t="shared" si="3"/>
        <v>2396</v>
      </c>
      <c r="I23" s="21">
        <f t="shared" si="3"/>
        <v>4564</v>
      </c>
      <c r="J23" s="21">
        <f t="shared" si="3"/>
        <v>6960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32</v>
      </c>
      <c r="B26" s="18">
        <f aca="true" t="shared" si="4" ref="B26:C29">SUM(B12,B19)</f>
        <v>3444</v>
      </c>
      <c r="C26" s="19">
        <f t="shared" si="4"/>
        <v>5647</v>
      </c>
      <c r="D26" s="19">
        <f>SUM(B26:C26)</f>
        <v>9091</v>
      </c>
      <c r="E26" s="18">
        <f aca="true" t="shared" si="5" ref="E26:F29">SUM(E12,E19)</f>
        <v>1611</v>
      </c>
      <c r="F26" s="19">
        <f t="shared" si="5"/>
        <v>2391</v>
      </c>
      <c r="G26" s="19">
        <f>SUM(E26:F26)</f>
        <v>4002</v>
      </c>
      <c r="H26" s="18">
        <f aca="true" t="shared" si="6" ref="H26:I29">SUM(B26,E26)</f>
        <v>5055</v>
      </c>
      <c r="I26" s="19">
        <f t="shared" si="6"/>
        <v>8038</v>
      </c>
      <c r="J26" s="19">
        <f>SUM(H26:I26)</f>
        <v>13093</v>
      </c>
    </row>
    <row r="27" spans="1:10" ht="12.75">
      <c r="A27" s="2" t="s">
        <v>33</v>
      </c>
      <c r="B27" s="18">
        <f t="shared" si="4"/>
        <v>12244</v>
      </c>
      <c r="C27" s="19">
        <f t="shared" si="4"/>
        <v>19841</v>
      </c>
      <c r="D27" s="19">
        <f>SUM(B27:C27)</f>
        <v>32085</v>
      </c>
      <c r="E27" s="18">
        <f t="shared" si="5"/>
        <v>3417</v>
      </c>
      <c r="F27" s="19">
        <f t="shared" si="5"/>
        <v>6125</v>
      </c>
      <c r="G27" s="19">
        <f>SUM(E27:F27)</f>
        <v>9542</v>
      </c>
      <c r="H27" s="18">
        <f t="shared" si="6"/>
        <v>15661</v>
      </c>
      <c r="I27" s="19">
        <f t="shared" si="6"/>
        <v>25966</v>
      </c>
      <c r="J27" s="19">
        <f>SUM(H27:I27)</f>
        <v>41627</v>
      </c>
    </row>
    <row r="28" spans="1:10" ht="12.75">
      <c r="A28" s="2" t="s">
        <v>34</v>
      </c>
      <c r="B28" s="18">
        <f t="shared" si="4"/>
        <v>857</v>
      </c>
      <c r="C28" s="19">
        <f t="shared" si="4"/>
        <v>818</v>
      </c>
      <c r="D28" s="19">
        <f>SUM(B28:C28)</f>
        <v>1675</v>
      </c>
      <c r="E28" s="18">
        <f t="shared" si="5"/>
        <v>252</v>
      </c>
      <c r="F28" s="19">
        <f t="shared" si="5"/>
        <v>282</v>
      </c>
      <c r="G28" s="19">
        <f>SUM(E28:F28)</f>
        <v>534</v>
      </c>
      <c r="H28" s="18">
        <f t="shared" si="6"/>
        <v>1109</v>
      </c>
      <c r="I28" s="19">
        <f t="shared" si="6"/>
        <v>1100</v>
      </c>
      <c r="J28" s="19">
        <f>SUM(H28:I28)</f>
        <v>2209</v>
      </c>
    </row>
    <row r="29" spans="1:10" ht="12.75">
      <c r="A29" s="2" t="s">
        <v>35</v>
      </c>
      <c r="B29" s="18">
        <f t="shared" si="4"/>
        <v>1170</v>
      </c>
      <c r="C29" s="19">
        <f t="shared" si="4"/>
        <v>1494</v>
      </c>
      <c r="D29" s="19">
        <f>SUM(B29:C29)</f>
        <v>2664</v>
      </c>
      <c r="E29" s="18">
        <f t="shared" si="5"/>
        <v>415</v>
      </c>
      <c r="F29" s="19">
        <f t="shared" si="5"/>
        <v>507</v>
      </c>
      <c r="G29" s="19">
        <f>SUM(E29:F29)</f>
        <v>922</v>
      </c>
      <c r="H29" s="18">
        <f t="shared" si="6"/>
        <v>1585</v>
      </c>
      <c r="I29" s="19">
        <f t="shared" si="6"/>
        <v>2001</v>
      </c>
      <c r="J29" s="19">
        <f>SUM(H29:I29)</f>
        <v>3586</v>
      </c>
    </row>
    <row r="30" spans="1:10" s="1" customFormat="1" ht="12.75">
      <c r="A30" s="16" t="s">
        <v>5</v>
      </c>
      <c r="B30" s="20">
        <f aca="true" t="shared" si="7" ref="B30:J30">SUM(B26:B29)</f>
        <v>17715</v>
      </c>
      <c r="C30" s="21">
        <f t="shared" si="7"/>
        <v>27800</v>
      </c>
      <c r="D30" s="21">
        <f>SUM(B30:C30)</f>
        <v>45515</v>
      </c>
      <c r="E30" s="20">
        <f t="shared" si="7"/>
        <v>5695</v>
      </c>
      <c r="F30" s="21">
        <f t="shared" si="7"/>
        <v>9305</v>
      </c>
      <c r="G30" s="21">
        <f>SUM(E30:F30)</f>
        <v>15000</v>
      </c>
      <c r="H30" s="20">
        <f t="shared" si="7"/>
        <v>23410</v>
      </c>
      <c r="I30" s="21">
        <f t="shared" si="7"/>
        <v>37105</v>
      </c>
      <c r="J30" s="21">
        <f t="shared" si="7"/>
        <v>60515</v>
      </c>
    </row>
    <row r="31" spans="1:10" s="1" customFormat="1" ht="9.7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ht="12.75">
      <c r="A32" s="197"/>
    </row>
    <row r="33" spans="1:2" s="190" customFormat="1" ht="12.75">
      <c r="A33" s="198"/>
      <c r="B33" s="195"/>
    </row>
    <row r="34" ht="12.75">
      <c r="A34" s="199"/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1200" verticalDpi="1200" orientation="portrait" paperSize="9" scale="83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35.00390625" style="51" customWidth="1"/>
    <col min="2" max="10" width="8.00390625" style="51" customWidth="1"/>
    <col min="11" max="16384" width="9.140625" style="51" customWidth="1"/>
  </cols>
  <sheetData>
    <row r="1" spans="1:10" s="29" customFormat="1" ht="12.75">
      <c r="A1" s="1" t="s">
        <v>60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4" customFormat="1" ht="12.75">
      <c r="A2" s="31" t="s">
        <v>15</v>
      </c>
      <c r="B2" s="32"/>
      <c r="C2" s="33"/>
      <c r="D2" s="32"/>
      <c r="E2" s="33"/>
      <c r="F2" s="33"/>
      <c r="G2" s="32"/>
      <c r="H2" s="33"/>
      <c r="I2" s="32"/>
      <c r="J2" s="32"/>
    </row>
    <row r="3" spans="1:10" s="34" customFormat="1" ht="12.75">
      <c r="A3" s="31"/>
      <c r="B3" s="32"/>
      <c r="C3" s="31"/>
      <c r="D3" s="32"/>
      <c r="E3" s="33"/>
      <c r="F3" s="33"/>
      <c r="G3" s="32"/>
      <c r="H3" s="33"/>
      <c r="I3" s="32"/>
      <c r="J3" s="32"/>
    </row>
    <row r="4" spans="1:10" s="34" customFormat="1" ht="12.75">
      <c r="A4" s="31" t="s">
        <v>62</v>
      </c>
      <c r="B4" s="32"/>
      <c r="C4" s="31"/>
      <c r="D4" s="32"/>
      <c r="E4" s="33"/>
      <c r="F4" s="33"/>
      <c r="G4" s="32"/>
      <c r="H4" s="33"/>
      <c r="I4" s="32"/>
      <c r="J4" s="32"/>
    </row>
    <row r="5" spans="1:10" s="34" customFormat="1" ht="12.75">
      <c r="A5" s="31"/>
      <c r="B5" s="32"/>
      <c r="C5" s="31"/>
      <c r="D5" s="32"/>
      <c r="E5" s="33"/>
      <c r="F5" s="33"/>
      <c r="G5" s="32"/>
      <c r="H5" s="33"/>
      <c r="I5" s="32"/>
      <c r="J5" s="32"/>
    </row>
    <row r="6" spans="1:10" s="34" customFormat="1" ht="12.75">
      <c r="A6" s="31" t="s">
        <v>2</v>
      </c>
      <c r="B6" s="32"/>
      <c r="C6" s="31"/>
      <c r="D6" s="32"/>
      <c r="E6" s="33"/>
      <c r="F6" s="33"/>
      <c r="G6" s="32"/>
      <c r="H6" s="33"/>
      <c r="I6" s="32"/>
      <c r="J6" s="32"/>
    </row>
    <row r="7" spans="1:10" s="34" customFormat="1" ht="13.5" thickBot="1">
      <c r="A7" s="31"/>
      <c r="B7" s="32"/>
      <c r="C7" s="31"/>
      <c r="D7" s="32"/>
      <c r="E7" s="33"/>
      <c r="F7" s="33"/>
      <c r="G7" s="32"/>
      <c r="H7" s="33"/>
      <c r="I7" s="32"/>
      <c r="J7" s="32"/>
    </row>
    <row r="8" spans="1:10" s="34" customFormat="1" ht="12.75">
      <c r="A8" s="35"/>
      <c r="B8" s="36"/>
      <c r="C8" s="37" t="s">
        <v>3</v>
      </c>
      <c r="D8" s="38"/>
      <c r="E8" s="36"/>
      <c r="F8" s="37" t="s">
        <v>4</v>
      </c>
      <c r="G8" s="38"/>
      <c r="H8" s="36"/>
      <c r="I8" s="37" t="s">
        <v>5</v>
      </c>
      <c r="J8" s="38"/>
    </row>
    <row r="9" spans="1:10" s="34" customFormat="1" ht="12.75">
      <c r="A9" s="39"/>
      <c r="B9" s="168" t="s">
        <v>6</v>
      </c>
      <c r="C9" s="169" t="s">
        <v>7</v>
      </c>
      <c r="D9" s="169" t="s">
        <v>5</v>
      </c>
      <c r="E9" s="168" t="s">
        <v>6</v>
      </c>
      <c r="F9" s="169" t="s">
        <v>7</v>
      </c>
      <c r="G9" s="169" t="s">
        <v>5</v>
      </c>
      <c r="H9" s="168" t="s">
        <v>6</v>
      </c>
      <c r="I9" s="169" t="s">
        <v>7</v>
      </c>
      <c r="J9" s="169" t="s">
        <v>5</v>
      </c>
    </row>
    <row r="10" spans="1:10" s="34" customFormat="1" ht="12.75">
      <c r="A10" s="40"/>
      <c r="B10" s="41"/>
      <c r="C10" s="42"/>
      <c r="D10" s="42"/>
      <c r="E10" s="41"/>
      <c r="F10" s="42"/>
      <c r="G10" s="42"/>
      <c r="H10" s="41"/>
      <c r="I10" s="42"/>
      <c r="J10" s="42"/>
    </row>
    <row r="11" spans="1:8" s="34" customFormat="1" ht="12.75">
      <c r="A11" s="29" t="s">
        <v>8</v>
      </c>
      <c r="B11" s="43"/>
      <c r="E11" s="43"/>
      <c r="H11" s="43"/>
    </row>
    <row r="12" spans="1:10" s="34" customFormat="1" ht="12.75">
      <c r="A12" s="34" t="s">
        <v>32</v>
      </c>
      <c r="B12" s="44">
        <v>223</v>
      </c>
      <c r="C12" s="45">
        <v>780</v>
      </c>
      <c r="D12" s="45">
        <f>SUM(B12:C12)</f>
        <v>1003</v>
      </c>
      <c r="E12" s="46">
        <v>140</v>
      </c>
      <c r="F12" s="45">
        <v>299</v>
      </c>
      <c r="G12" s="45">
        <f>SUM(E12:F12)</f>
        <v>439</v>
      </c>
      <c r="H12" s="46">
        <f aca="true" t="shared" si="0" ref="H12:I15">SUM(B12,E12)</f>
        <v>363</v>
      </c>
      <c r="I12" s="45">
        <f t="shared" si="0"/>
        <v>1079</v>
      </c>
      <c r="J12" s="45">
        <f>SUM(H12:I12)</f>
        <v>1442</v>
      </c>
    </row>
    <row r="13" spans="1:10" s="34" customFormat="1" ht="12.75">
      <c r="A13" s="34" t="s">
        <v>33</v>
      </c>
      <c r="B13" s="44">
        <v>863</v>
      </c>
      <c r="C13" s="47">
        <v>2178</v>
      </c>
      <c r="D13" s="45">
        <f>SUM(B13:C13)</f>
        <v>3041</v>
      </c>
      <c r="E13" s="46">
        <v>329</v>
      </c>
      <c r="F13" s="45">
        <v>681</v>
      </c>
      <c r="G13" s="45">
        <f>SUM(E13:F13)</f>
        <v>1010</v>
      </c>
      <c r="H13" s="46">
        <f t="shared" si="0"/>
        <v>1192</v>
      </c>
      <c r="I13" s="45">
        <f t="shared" si="0"/>
        <v>2859</v>
      </c>
      <c r="J13" s="45">
        <f>SUM(H13:I13)</f>
        <v>4051</v>
      </c>
    </row>
    <row r="14" spans="1:10" s="34" customFormat="1" ht="12.75">
      <c r="A14" s="34" t="s">
        <v>34</v>
      </c>
      <c r="B14" s="44">
        <v>44</v>
      </c>
      <c r="C14" s="48">
        <v>114</v>
      </c>
      <c r="D14" s="45">
        <f>SUM(B14:C14)</f>
        <v>158</v>
      </c>
      <c r="E14" s="44">
        <v>20</v>
      </c>
      <c r="F14" s="48">
        <v>37</v>
      </c>
      <c r="G14" s="45">
        <f>SUM(E14:F14)</f>
        <v>57</v>
      </c>
      <c r="H14" s="46">
        <f t="shared" si="0"/>
        <v>64</v>
      </c>
      <c r="I14" s="45">
        <f t="shared" si="0"/>
        <v>151</v>
      </c>
      <c r="J14" s="45">
        <f>SUM(H14:I14)</f>
        <v>215</v>
      </c>
    </row>
    <row r="15" spans="1:10" s="34" customFormat="1" ht="12.75">
      <c r="A15" s="34" t="s">
        <v>35</v>
      </c>
      <c r="B15" s="44">
        <v>47</v>
      </c>
      <c r="C15" s="47">
        <v>161</v>
      </c>
      <c r="D15" s="45">
        <f>SUM(B15:C15)</f>
        <v>208</v>
      </c>
      <c r="E15" s="46">
        <v>35</v>
      </c>
      <c r="F15" s="45">
        <v>74</v>
      </c>
      <c r="G15" s="45">
        <f>SUM(E15:F15)</f>
        <v>109</v>
      </c>
      <c r="H15" s="46">
        <f t="shared" si="0"/>
        <v>82</v>
      </c>
      <c r="I15" s="45">
        <f t="shared" si="0"/>
        <v>235</v>
      </c>
      <c r="J15" s="45">
        <f>SUM(H15:I15)</f>
        <v>317</v>
      </c>
    </row>
    <row r="16" spans="1:10" s="29" customFormat="1" ht="12.75">
      <c r="A16" s="30" t="s">
        <v>5</v>
      </c>
      <c r="B16" s="49">
        <f>SUM(B12:B15)</f>
        <v>1177</v>
      </c>
      <c r="C16" s="50">
        <f aca="true" t="shared" si="1" ref="C16:J16">SUM(C12:C15)</f>
        <v>3233</v>
      </c>
      <c r="D16" s="50">
        <f t="shared" si="1"/>
        <v>4410</v>
      </c>
      <c r="E16" s="49">
        <f t="shared" si="1"/>
        <v>524</v>
      </c>
      <c r="F16" s="50">
        <f t="shared" si="1"/>
        <v>1091</v>
      </c>
      <c r="G16" s="50">
        <f t="shared" si="1"/>
        <v>1615</v>
      </c>
      <c r="H16" s="49">
        <f t="shared" si="1"/>
        <v>1701</v>
      </c>
      <c r="I16" s="50">
        <f t="shared" si="1"/>
        <v>4324</v>
      </c>
      <c r="J16" s="50">
        <f t="shared" si="1"/>
        <v>6025</v>
      </c>
    </row>
    <row r="17" spans="2:10" s="34" customFormat="1" ht="12.75">
      <c r="B17" s="46"/>
      <c r="C17" s="45"/>
      <c r="D17" s="45"/>
      <c r="E17" s="46"/>
      <c r="F17" s="45"/>
      <c r="G17" s="45"/>
      <c r="H17" s="46"/>
      <c r="I17" s="45"/>
      <c r="J17" s="45"/>
    </row>
    <row r="18" spans="1:10" s="34" customFormat="1" ht="12.75">
      <c r="A18" s="29" t="s">
        <v>12</v>
      </c>
      <c r="B18" s="46"/>
      <c r="C18" s="45"/>
      <c r="D18" s="45"/>
      <c r="E18" s="46"/>
      <c r="F18" s="45"/>
      <c r="G18" s="45"/>
      <c r="H18" s="46"/>
      <c r="I18" s="45"/>
      <c r="J18" s="45"/>
    </row>
    <row r="19" spans="1:10" s="34" customFormat="1" ht="12.75">
      <c r="A19" s="34" t="s">
        <v>32</v>
      </c>
      <c r="B19" s="46">
        <v>34</v>
      </c>
      <c r="C19" s="45">
        <v>229</v>
      </c>
      <c r="D19" s="45">
        <f>SUM(B19:C19)</f>
        <v>263</v>
      </c>
      <c r="E19" s="46">
        <v>15</v>
      </c>
      <c r="F19" s="45">
        <v>97</v>
      </c>
      <c r="G19" s="45">
        <f>SUM(E19:F19)</f>
        <v>112</v>
      </c>
      <c r="H19" s="46">
        <f aca="true" t="shared" si="2" ref="H19:I22">SUM(B19,E19)</f>
        <v>49</v>
      </c>
      <c r="I19" s="45">
        <f t="shared" si="2"/>
        <v>326</v>
      </c>
      <c r="J19" s="45">
        <f>SUM(H19:I19)</f>
        <v>375</v>
      </c>
    </row>
    <row r="20" spans="1:10" s="34" customFormat="1" ht="12.75">
      <c r="A20" s="34" t="s">
        <v>33</v>
      </c>
      <c r="B20" s="46">
        <v>93</v>
      </c>
      <c r="C20" s="45">
        <v>428</v>
      </c>
      <c r="D20" s="45">
        <f>SUM(B20:C20)</f>
        <v>521</v>
      </c>
      <c r="E20" s="46">
        <v>42</v>
      </c>
      <c r="F20" s="45">
        <v>220</v>
      </c>
      <c r="G20" s="45">
        <f>SUM(E20:F20)</f>
        <v>262</v>
      </c>
      <c r="H20" s="46">
        <f t="shared" si="2"/>
        <v>135</v>
      </c>
      <c r="I20" s="45">
        <f t="shared" si="2"/>
        <v>648</v>
      </c>
      <c r="J20" s="45">
        <f>SUM(H20:I20)</f>
        <v>783</v>
      </c>
    </row>
    <row r="21" spans="1:10" s="34" customFormat="1" ht="12.75">
      <c r="A21" s="34" t="s">
        <v>34</v>
      </c>
      <c r="B21" s="46">
        <v>2</v>
      </c>
      <c r="C21" s="45">
        <v>6</v>
      </c>
      <c r="D21" s="45">
        <f>SUM(B21:C21)</f>
        <v>8</v>
      </c>
      <c r="E21" s="46">
        <v>2</v>
      </c>
      <c r="F21" s="45">
        <v>6</v>
      </c>
      <c r="G21" s="45">
        <f>SUM(E21:F21)</f>
        <v>8</v>
      </c>
      <c r="H21" s="46">
        <f t="shared" si="2"/>
        <v>4</v>
      </c>
      <c r="I21" s="45">
        <f t="shared" si="2"/>
        <v>12</v>
      </c>
      <c r="J21" s="45">
        <f>SUM(H21:I21)</f>
        <v>16</v>
      </c>
    </row>
    <row r="22" spans="1:10" s="34" customFormat="1" ht="12.75">
      <c r="A22" s="34" t="s">
        <v>35</v>
      </c>
      <c r="B22" s="46">
        <v>14</v>
      </c>
      <c r="C22" s="45">
        <v>67</v>
      </c>
      <c r="D22" s="45">
        <f>SUM(B22:C22)</f>
        <v>81</v>
      </c>
      <c r="E22" s="46">
        <v>7</v>
      </c>
      <c r="F22" s="45">
        <v>40</v>
      </c>
      <c r="G22" s="45">
        <f>SUM(E22:F22)</f>
        <v>47</v>
      </c>
      <c r="H22" s="46">
        <f t="shared" si="2"/>
        <v>21</v>
      </c>
      <c r="I22" s="45">
        <f t="shared" si="2"/>
        <v>107</v>
      </c>
      <c r="J22" s="45">
        <f>SUM(H22:I22)</f>
        <v>128</v>
      </c>
    </row>
    <row r="23" spans="1:10" s="29" customFormat="1" ht="12.75">
      <c r="A23" s="30" t="s">
        <v>5</v>
      </c>
      <c r="B23" s="49">
        <f aca="true" t="shared" si="3" ref="B23:J23">SUM(B19:B22)</f>
        <v>143</v>
      </c>
      <c r="C23" s="50">
        <f t="shared" si="3"/>
        <v>730</v>
      </c>
      <c r="D23" s="50">
        <f t="shared" si="3"/>
        <v>873</v>
      </c>
      <c r="E23" s="49">
        <f t="shared" si="3"/>
        <v>66</v>
      </c>
      <c r="F23" s="50">
        <f t="shared" si="3"/>
        <v>363</v>
      </c>
      <c r="G23" s="50">
        <f t="shared" si="3"/>
        <v>429</v>
      </c>
      <c r="H23" s="49">
        <f t="shared" si="3"/>
        <v>209</v>
      </c>
      <c r="I23" s="50">
        <f t="shared" si="3"/>
        <v>1093</v>
      </c>
      <c r="J23" s="50">
        <f t="shared" si="3"/>
        <v>1302</v>
      </c>
    </row>
    <row r="24" spans="1:10" s="34" customFormat="1" ht="12.75">
      <c r="A24" s="177"/>
      <c r="B24" s="178"/>
      <c r="C24" s="179"/>
      <c r="D24" s="179"/>
      <c r="E24" s="178"/>
      <c r="F24" s="179"/>
      <c r="G24" s="179"/>
      <c r="H24" s="178"/>
      <c r="I24" s="179"/>
      <c r="J24" s="179"/>
    </row>
    <row r="25" spans="1:10" s="34" customFormat="1" ht="12.75">
      <c r="A25" s="28" t="s">
        <v>13</v>
      </c>
      <c r="B25" s="46"/>
      <c r="C25" s="176"/>
      <c r="D25" s="176"/>
      <c r="E25" s="46"/>
      <c r="F25" s="176"/>
      <c r="G25" s="176"/>
      <c r="H25" s="46"/>
      <c r="I25" s="176"/>
      <c r="J25" s="176"/>
    </row>
    <row r="26" spans="1:10" s="34" customFormat="1" ht="12.75">
      <c r="A26" s="34" t="s">
        <v>32</v>
      </c>
      <c r="B26" s="46">
        <f aca="true" t="shared" si="4" ref="B26:C29">SUM(B12,B19)</f>
        <v>257</v>
      </c>
      <c r="C26" s="45">
        <f t="shared" si="4"/>
        <v>1009</v>
      </c>
      <c r="D26" s="45">
        <f>SUM(B26:C26)</f>
        <v>1266</v>
      </c>
      <c r="E26" s="46">
        <f aca="true" t="shared" si="5" ref="E26:F29">SUM(E12,E19)</f>
        <v>155</v>
      </c>
      <c r="F26" s="45">
        <f t="shared" si="5"/>
        <v>396</v>
      </c>
      <c r="G26" s="45">
        <f>SUM(E26:F26)</f>
        <v>551</v>
      </c>
      <c r="H26" s="46">
        <f aca="true" t="shared" si="6" ref="H26:I29">SUM(B26,E26)</f>
        <v>412</v>
      </c>
      <c r="I26" s="45">
        <f t="shared" si="6"/>
        <v>1405</v>
      </c>
      <c r="J26" s="45">
        <f>SUM(H26:I26)</f>
        <v>1817</v>
      </c>
    </row>
    <row r="27" spans="1:10" s="34" customFormat="1" ht="12.75">
      <c r="A27" s="34" t="s">
        <v>33</v>
      </c>
      <c r="B27" s="46">
        <f t="shared" si="4"/>
        <v>956</v>
      </c>
      <c r="C27" s="45">
        <f t="shared" si="4"/>
        <v>2606</v>
      </c>
      <c r="D27" s="45">
        <f>SUM(B27:C27)</f>
        <v>3562</v>
      </c>
      <c r="E27" s="46">
        <f t="shared" si="5"/>
        <v>371</v>
      </c>
      <c r="F27" s="45">
        <f t="shared" si="5"/>
        <v>901</v>
      </c>
      <c r="G27" s="45">
        <f>SUM(E27:F27)</f>
        <v>1272</v>
      </c>
      <c r="H27" s="46">
        <f t="shared" si="6"/>
        <v>1327</v>
      </c>
      <c r="I27" s="45">
        <f t="shared" si="6"/>
        <v>3507</v>
      </c>
      <c r="J27" s="45">
        <f>SUM(H27:I27)</f>
        <v>4834</v>
      </c>
    </row>
    <row r="28" spans="1:10" s="34" customFormat="1" ht="12.75">
      <c r="A28" s="34" t="s">
        <v>34</v>
      </c>
      <c r="B28" s="46">
        <f t="shared" si="4"/>
        <v>46</v>
      </c>
      <c r="C28" s="45">
        <f t="shared" si="4"/>
        <v>120</v>
      </c>
      <c r="D28" s="45">
        <f>SUM(B28:C28)</f>
        <v>166</v>
      </c>
      <c r="E28" s="46">
        <f t="shared" si="5"/>
        <v>22</v>
      </c>
      <c r="F28" s="45">
        <f t="shared" si="5"/>
        <v>43</v>
      </c>
      <c r="G28" s="45">
        <f>SUM(E28:F28)</f>
        <v>65</v>
      </c>
      <c r="H28" s="46">
        <f t="shared" si="6"/>
        <v>68</v>
      </c>
      <c r="I28" s="45">
        <f t="shared" si="6"/>
        <v>163</v>
      </c>
      <c r="J28" s="45">
        <f>SUM(H28:I28)</f>
        <v>231</v>
      </c>
    </row>
    <row r="29" spans="1:10" s="34" customFormat="1" ht="12.75">
      <c r="A29" s="34" t="s">
        <v>35</v>
      </c>
      <c r="B29" s="46">
        <f t="shared" si="4"/>
        <v>61</v>
      </c>
      <c r="C29" s="45">
        <f t="shared" si="4"/>
        <v>228</v>
      </c>
      <c r="D29" s="45">
        <f>SUM(B29:C29)</f>
        <v>289</v>
      </c>
      <c r="E29" s="46">
        <f t="shared" si="5"/>
        <v>42</v>
      </c>
      <c r="F29" s="45">
        <f t="shared" si="5"/>
        <v>114</v>
      </c>
      <c r="G29" s="45">
        <f>SUM(E29:F29)</f>
        <v>156</v>
      </c>
      <c r="H29" s="46">
        <f t="shared" si="6"/>
        <v>103</v>
      </c>
      <c r="I29" s="45">
        <f t="shared" si="6"/>
        <v>342</v>
      </c>
      <c r="J29" s="45">
        <f>SUM(H29:I29)</f>
        <v>445</v>
      </c>
    </row>
    <row r="30" spans="1:10" s="29" customFormat="1" ht="12.75">
      <c r="A30" s="30" t="s">
        <v>5</v>
      </c>
      <c r="B30" s="49">
        <f aca="true" t="shared" si="7" ref="B30:J30">SUM(B26:B29)</f>
        <v>1320</v>
      </c>
      <c r="C30" s="50">
        <f t="shared" si="7"/>
        <v>3963</v>
      </c>
      <c r="D30" s="50">
        <f>SUM(B30:C30)</f>
        <v>5283</v>
      </c>
      <c r="E30" s="49">
        <f t="shared" si="7"/>
        <v>590</v>
      </c>
      <c r="F30" s="50">
        <f t="shared" si="7"/>
        <v>1454</v>
      </c>
      <c r="G30" s="50">
        <f>SUM(E30:F30)</f>
        <v>2044</v>
      </c>
      <c r="H30" s="49">
        <f t="shared" si="7"/>
        <v>1910</v>
      </c>
      <c r="I30" s="50">
        <f t="shared" si="7"/>
        <v>5417</v>
      </c>
      <c r="J30" s="50">
        <f t="shared" si="7"/>
        <v>7327</v>
      </c>
    </row>
    <row r="31" s="34" customFormat="1" ht="12.75"/>
    <row r="32" s="195" customFormat="1" ht="12.75">
      <c r="A32" s="197"/>
    </row>
    <row r="33" s="195" customFormat="1" ht="12.75">
      <c r="A33" s="198"/>
    </row>
    <row r="34" s="195" customFormat="1" ht="12.75">
      <c r="A34" s="200"/>
    </row>
    <row r="35" s="196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32.8515625" style="2" customWidth="1"/>
    <col min="2" max="10" width="9.421875" style="2" customWidth="1"/>
    <col min="11" max="16384" width="9.140625" style="2" customWidth="1"/>
  </cols>
  <sheetData>
    <row r="1" ht="12.75">
      <c r="A1" s="1" t="s">
        <v>60</v>
      </c>
    </row>
    <row r="2" spans="1:16" s="1" customFormat="1" ht="12.75">
      <c r="A2" s="3" t="s">
        <v>1</v>
      </c>
      <c r="B2" s="3"/>
      <c r="C2" s="52"/>
      <c r="D2" s="52"/>
      <c r="E2" s="52"/>
      <c r="F2" s="3"/>
      <c r="G2" s="3"/>
      <c r="H2" s="52"/>
      <c r="I2" s="3"/>
      <c r="J2" s="3"/>
      <c r="K2" s="53" t="s">
        <v>16</v>
      </c>
      <c r="L2" s="3"/>
      <c r="M2" s="3"/>
      <c r="N2" s="3"/>
      <c r="O2" s="3"/>
      <c r="P2" s="3"/>
    </row>
    <row r="3" spans="1:16" s="1" customFormat="1" ht="12.75">
      <c r="A3" s="3"/>
      <c r="B3" s="3"/>
      <c r="C3" s="3"/>
      <c r="D3" s="52"/>
      <c r="E3" s="52"/>
      <c r="F3" s="3"/>
      <c r="G3" s="3"/>
      <c r="H3" s="52"/>
      <c r="I3" s="3"/>
      <c r="J3" s="3"/>
      <c r="K3" s="53"/>
      <c r="L3" s="3"/>
      <c r="M3" s="3"/>
      <c r="N3" s="3"/>
      <c r="O3" s="3"/>
      <c r="P3" s="3"/>
    </row>
    <row r="4" spans="1:16" s="1" customFormat="1" ht="12.75">
      <c r="A4" s="3" t="s">
        <v>63</v>
      </c>
      <c r="B4" s="3"/>
      <c r="C4" s="3"/>
      <c r="D4" s="52"/>
      <c r="E4" s="52"/>
      <c r="F4" s="3"/>
      <c r="G4" s="3"/>
      <c r="H4" s="52"/>
      <c r="I4" s="3"/>
      <c r="J4" s="3"/>
      <c r="K4" s="53" t="s">
        <v>16</v>
      </c>
      <c r="L4" s="3"/>
      <c r="M4" s="3"/>
      <c r="N4" s="3"/>
      <c r="O4" s="3"/>
      <c r="P4" s="3"/>
    </row>
    <row r="5" spans="1:16" s="1" customFormat="1" ht="12.75">
      <c r="A5" s="3"/>
      <c r="B5" s="3"/>
      <c r="C5" s="3"/>
      <c r="D5" s="52"/>
      <c r="E5" s="52"/>
      <c r="F5" s="3"/>
      <c r="G5" s="3"/>
      <c r="H5" s="52"/>
      <c r="I5" s="3"/>
      <c r="J5" s="3"/>
      <c r="K5" s="53"/>
      <c r="L5" s="3"/>
      <c r="M5" s="3"/>
      <c r="N5" s="3"/>
      <c r="O5" s="3"/>
      <c r="P5" s="3"/>
    </row>
    <row r="6" spans="1:16" ht="12.75">
      <c r="A6" s="3" t="s">
        <v>2</v>
      </c>
      <c r="B6" s="4"/>
      <c r="C6" s="3"/>
      <c r="D6" s="4"/>
      <c r="E6" s="5"/>
      <c r="F6" s="4"/>
      <c r="G6" s="4"/>
      <c r="H6" s="4"/>
      <c r="I6" s="4"/>
      <c r="J6" s="4"/>
      <c r="K6" s="54" t="s">
        <v>16</v>
      </c>
      <c r="L6" s="4"/>
      <c r="M6" s="4"/>
      <c r="N6" s="4"/>
      <c r="O6" s="4"/>
      <c r="P6" s="4"/>
    </row>
    <row r="7" ht="13.5" thickBot="1"/>
    <row r="8" spans="1:10" s="57" customFormat="1" ht="12.75">
      <c r="A8" s="26"/>
      <c r="B8" s="55"/>
      <c r="C8" s="56" t="s">
        <v>3</v>
      </c>
      <c r="D8" s="56"/>
      <c r="E8" s="55"/>
      <c r="F8" s="56" t="s">
        <v>4</v>
      </c>
      <c r="G8" s="56"/>
      <c r="H8" s="55"/>
      <c r="I8" s="56" t="s">
        <v>5</v>
      </c>
      <c r="J8" s="56"/>
    </row>
    <row r="9" spans="1:10" ht="12.75">
      <c r="A9" s="11"/>
      <c r="B9" s="183" t="s">
        <v>6</v>
      </c>
      <c r="C9" s="170" t="s">
        <v>7</v>
      </c>
      <c r="D9" s="170" t="s">
        <v>5</v>
      </c>
      <c r="E9" s="183" t="s">
        <v>6</v>
      </c>
      <c r="F9" s="170" t="s">
        <v>7</v>
      </c>
      <c r="G9" s="170" t="s">
        <v>5</v>
      </c>
      <c r="H9" s="183" t="s">
        <v>6</v>
      </c>
      <c r="I9" s="170" t="s">
        <v>7</v>
      </c>
      <c r="J9" s="170" t="s">
        <v>5</v>
      </c>
    </row>
    <row r="10" spans="1:10" ht="12.75">
      <c r="A10" s="12"/>
      <c r="B10" s="22"/>
      <c r="C10" s="23"/>
      <c r="D10" s="23"/>
      <c r="E10" s="22"/>
      <c r="F10" s="24"/>
      <c r="G10" s="24"/>
      <c r="H10" s="22"/>
      <c r="I10" s="24"/>
      <c r="J10" s="24"/>
    </row>
    <row r="11" spans="1:10" ht="12.75">
      <c r="A11" s="1" t="s">
        <v>8</v>
      </c>
      <c r="B11" s="18"/>
      <c r="C11" s="19"/>
      <c r="D11" s="19"/>
      <c r="E11" s="18"/>
      <c r="F11" s="19"/>
      <c r="G11" s="19"/>
      <c r="H11" s="18"/>
      <c r="I11" s="19"/>
      <c r="J11" s="19"/>
    </row>
    <row r="12" spans="1:10" ht="12.75">
      <c r="A12" s="2" t="s">
        <v>32</v>
      </c>
      <c r="B12" s="18">
        <v>3199</v>
      </c>
      <c r="C12" s="19">
        <v>5362</v>
      </c>
      <c r="D12" s="19">
        <f>SUM(B12:C12)</f>
        <v>8561</v>
      </c>
      <c r="E12" s="18">
        <v>1574</v>
      </c>
      <c r="F12" s="19">
        <v>2252</v>
      </c>
      <c r="G12" s="19">
        <f>SUM(E12:F12)</f>
        <v>3826</v>
      </c>
      <c r="H12" s="18">
        <f aca="true" t="shared" si="0" ref="H12:I15">SUM(B12,E12)</f>
        <v>4773</v>
      </c>
      <c r="I12" s="19">
        <f t="shared" si="0"/>
        <v>7614</v>
      </c>
      <c r="J12" s="19">
        <f>SUM(H12:I12)</f>
        <v>12387</v>
      </c>
    </row>
    <row r="13" spans="1:10" ht="12.75">
      <c r="A13" s="2" t="s">
        <v>33</v>
      </c>
      <c r="B13" s="18">
        <v>11809</v>
      </c>
      <c r="C13" s="19">
        <v>20709</v>
      </c>
      <c r="D13" s="19">
        <f>SUM(B13:C13)</f>
        <v>32518</v>
      </c>
      <c r="E13" s="18">
        <v>3385</v>
      </c>
      <c r="F13" s="19">
        <v>6025</v>
      </c>
      <c r="G13" s="19">
        <f>SUM(E13:F13)</f>
        <v>9410</v>
      </c>
      <c r="H13" s="18">
        <f t="shared" si="0"/>
        <v>15194</v>
      </c>
      <c r="I13" s="19">
        <f t="shared" si="0"/>
        <v>26734</v>
      </c>
      <c r="J13" s="19">
        <f>SUM(H13:I13)</f>
        <v>41928</v>
      </c>
    </row>
    <row r="14" spans="1:10" ht="12.75">
      <c r="A14" s="2" t="s">
        <v>34</v>
      </c>
      <c r="B14" s="18">
        <v>874</v>
      </c>
      <c r="C14" s="192">
        <v>884</v>
      </c>
      <c r="D14" s="19">
        <f>SUM(B14:C14)</f>
        <v>1758</v>
      </c>
      <c r="E14" s="18">
        <v>267</v>
      </c>
      <c r="F14" s="19">
        <v>294</v>
      </c>
      <c r="G14" s="19">
        <f>SUM(E14:F14)</f>
        <v>561</v>
      </c>
      <c r="H14" s="18">
        <f t="shared" si="0"/>
        <v>1141</v>
      </c>
      <c r="I14" s="19">
        <f t="shared" si="0"/>
        <v>1178</v>
      </c>
      <c r="J14" s="19">
        <f>SUM(H14:I14)</f>
        <v>2319</v>
      </c>
    </row>
    <row r="15" spans="1:10" ht="12.75">
      <c r="A15" s="2" t="s">
        <v>35</v>
      </c>
      <c r="B15" s="18">
        <v>1008</v>
      </c>
      <c r="C15" s="19">
        <v>1281</v>
      </c>
      <c r="D15" s="19">
        <f>SUM(B15:C15)</f>
        <v>2289</v>
      </c>
      <c r="E15" s="18">
        <v>385</v>
      </c>
      <c r="F15" s="19">
        <v>445</v>
      </c>
      <c r="G15" s="19">
        <f>SUM(E15:F15)</f>
        <v>830</v>
      </c>
      <c r="H15" s="18">
        <f t="shared" si="0"/>
        <v>1393</v>
      </c>
      <c r="I15" s="19">
        <f t="shared" si="0"/>
        <v>1726</v>
      </c>
      <c r="J15" s="19">
        <f>SUM(H15:I15)</f>
        <v>3119</v>
      </c>
    </row>
    <row r="16" spans="1:10" s="1" customFormat="1" ht="12.75">
      <c r="A16" s="16" t="s">
        <v>5</v>
      </c>
      <c r="B16" s="20">
        <f>SUM(B12:B15)</f>
        <v>16890</v>
      </c>
      <c r="C16" s="21">
        <f aca="true" t="shared" si="1" ref="C16:J16">SUM(C12:C15)</f>
        <v>28236</v>
      </c>
      <c r="D16" s="21">
        <f t="shared" si="1"/>
        <v>45126</v>
      </c>
      <c r="E16" s="20">
        <f t="shared" si="1"/>
        <v>5611</v>
      </c>
      <c r="F16" s="21">
        <f t="shared" si="1"/>
        <v>9016</v>
      </c>
      <c r="G16" s="21">
        <f t="shared" si="1"/>
        <v>14627</v>
      </c>
      <c r="H16" s="20">
        <f t="shared" si="1"/>
        <v>22501</v>
      </c>
      <c r="I16" s="21">
        <f t="shared" si="1"/>
        <v>37252</v>
      </c>
      <c r="J16" s="21">
        <f t="shared" si="1"/>
        <v>59753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32</v>
      </c>
      <c r="B19" s="18">
        <v>450</v>
      </c>
      <c r="C19" s="19">
        <v>895</v>
      </c>
      <c r="D19" s="19">
        <f>SUM(B19:C19)</f>
        <v>1345</v>
      </c>
      <c r="E19" s="18">
        <v>207</v>
      </c>
      <c r="F19" s="19">
        <v>386</v>
      </c>
      <c r="G19" s="19">
        <f>SUM(E19:F19)</f>
        <v>593</v>
      </c>
      <c r="H19" s="18">
        <f aca="true" t="shared" si="2" ref="H19:I22">SUM(B19,E19)</f>
        <v>657</v>
      </c>
      <c r="I19" s="19">
        <f t="shared" si="2"/>
        <v>1281</v>
      </c>
      <c r="J19" s="19">
        <f>SUM(H19:I19)</f>
        <v>1938</v>
      </c>
    </row>
    <row r="20" spans="1:10" ht="12.75">
      <c r="A20" s="2" t="s">
        <v>33</v>
      </c>
      <c r="B20" s="18">
        <v>1149</v>
      </c>
      <c r="C20" s="19">
        <v>2346</v>
      </c>
      <c r="D20" s="19">
        <f>SUM(B20:C20)</f>
        <v>3495</v>
      </c>
      <c r="E20" s="18">
        <v>397</v>
      </c>
      <c r="F20" s="19">
        <v>848</v>
      </c>
      <c r="G20" s="19">
        <f>SUM(E20:F20)</f>
        <v>1245</v>
      </c>
      <c r="H20" s="18">
        <f t="shared" si="2"/>
        <v>1546</v>
      </c>
      <c r="I20" s="19">
        <f t="shared" si="2"/>
        <v>3194</v>
      </c>
      <c r="J20" s="19">
        <f>SUM(H20:I20)</f>
        <v>4740</v>
      </c>
    </row>
    <row r="21" spans="1:10" ht="12.75">
      <c r="A21" s="2" t="s">
        <v>34</v>
      </c>
      <c r="B21" s="18">
        <v>41</v>
      </c>
      <c r="C21" s="19">
        <v>54</v>
      </c>
      <c r="D21" s="19">
        <f>SUM(B21:C21)</f>
        <v>95</v>
      </c>
      <c r="E21" s="18">
        <v>19</v>
      </c>
      <c r="F21" s="19">
        <v>14</v>
      </c>
      <c r="G21" s="19">
        <f>SUM(E21:F21)</f>
        <v>33</v>
      </c>
      <c r="H21" s="18">
        <f t="shared" si="2"/>
        <v>60</v>
      </c>
      <c r="I21" s="19">
        <f t="shared" si="2"/>
        <v>68</v>
      </c>
      <c r="J21" s="19">
        <f>SUM(H21:I21)</f>
        <v>128</v>
      </c>
    </row>
    <row r="22" spans="1:10" ht="12.75">
      <c r="A22" s="2" t="s">
        <v>35</v>
      </c>
      <c r="B22" s="18">
        <v>230</v>
      </c>
      <c r="C22" s="19">
        <v>398</v>
      </c>
      <c r="D22" s="19">
        <f>SUM(B22:C22)</f>
        <v>628</v>
      </c>
      <c r="E22" s="18">
        <v>80</v>
      </c>
      <c r="F22" s="19">
        <v>144</v>
      </c>
      <c r="G22" s="19">
        <f>SUM(E22:F22)</f>
        <v>224</v>
      </c>
      <c r="H22" s="18">
        <f t="shared" si="2"/>
        <v>310</v>
      </c>
      <c r="I22" s="19">
        <f t="shared" si="2"/>
        <v>542</v>
      </c>
      <c r="J22" s="19">
        <f>SUM(H22:I22)</f>
        <v>852</v>
      </c>
    </row>
    <row r="23" spans="1:10" s="1" customFormat="1" ht="12.75">
      <c r="A23" s="16" t="s">
        <v>5</v>
      </c>
      <c r="B23" s="20">
        <f aca="true" t="shared" si="3" ref="B23:J23">SUM(B19:B22)</f>
        <v>1870</v>
      </c>
      <c r="C23" s="21">
        <f t="shared" si="3"/>
        <v>3693</v>
      </c>
      <c r="D23" s="21">
        <f t="shared" si="3"/>
        <v>5563</v>
      </c>
      <c r="E23" s="20">
        <f t="shared" si="3"/>
        <v>703</v>
      </c>
      <c r="F23" s="21">
        <f t="shared" si="3"/>
        <v>1392</v>
      </c>
      <c r="G23" s="21">
        <f t="shared" si="3"/>
        <v>2095</v>
      </c>
      <c r="H23" s="20">
        <f t="shared" si="3"/>
        <v>2573</v>
      </c>
      <c r="I23" s="21">
        <f t="shared" si="3"/>
        <v>5085</v>
      </c>
      <c r="J23" s="21">
        <f t="shared" si="3"/>
        <v>7658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32</v>
      </c>
      <c r="B26" s="18">
        <f aca="true" t="shared" si="4" ref="B26:C29">SUM(B12,B19)</f>
        <v>3649</v>
      </c>
      <c r="C26" s="19">
        <f t="shared" si="4"/>
        <v>6257</v>
      </c>
      <c r="D26" s="19">
        <f>SUM(B26:C26)</f>
        <v>9906</v>
      </c>
      <c r="E26" s="18">
        <f aca="true" t="shared" si="5" ref="E26:F29">SUM(E12,E19)</f>
        <v>1781</v>
      </c>
      <c r="F26" s="19">
        <f t="shared" si="5"/>
        <v>2638</v>
      </c>
      <c r="G26" s="19">
        <f>SUM(E26:F26)</f>
        <v>4419</v>
      </c>
      <c r="H26" s="18">
        <f aca="true" t="shared" si="6" ref="H26:I29">SUM(B26,E26)</f>
        <v>5430</v>
      </c>
      <c r="I26" s="19">
        <f t="shared" si="6"/>
        <v>8895</v>
      </c>
      <c r="J26" s="19">
        <f>SUM(H26:I26)</f>
        <v>14325</v>
      </c>
    </row>
    <row r="27" spans="1:10" ht="12.75">
      <c r="A27" s="2" t="s">
        <v>33</v>
      </c>
      <c r="B27" s="18">
        <f t="shared" si="4"/>
        <v>12958</v>
      </c>
      <c r="C27" s="19">
        <f t="shared" si="4"/>
        <v>23055</v>
      </c>
      <c r="D27" s="19">
        <f>SUM(B27:C27)</f>
        <v>36013</v>
      </c>
      <c r="E27" s="18">
        <f t="shared" si="5"/>
        <v>3782</v>
      </c>
      <c r="F27" s="19">
        <f t="shared" si="5"/>
        <v>6873</v>
      </c>
      <c r="G27" s="19">
        <f>SUM(E27:F27)</f>
        <v>10655</v>
      </c>
      <c r="H27" s="18">
        <f t="shared" si="6"/>
        <v>16740</v>
      </c>
      <c r="I27" s="19">
        <f t="shared" si="6"/>
        <v>29928</v>
      </c>
      <c r="J27" s="19">
        <f>SUM(H27:I27)</f>
        <v>46668</v>
      </c>
    </row>
    <row r="28" spans="1:10" ht="12.75">
      <c r="A28" s="2" t="s">
        <v>34</v>
      </c>
      <c r="B28" s="18">
        <f t="shared" si="4"/>
        <v>915</v>
      </c>
      <c r="C28" s="19">
        <f t="shared" si="4"/>
        <v>938</v>
      </c>
      <c r="D28" s="19">
        <f>SUM(B28:C28)</f>
        <v>1853</v>
      </c>
      <c r="E28" s="18">
        <f t="shared" si="5"/>
        <v>286</v>
      </c>
      <c r="F28" s="19">
        <f t="shared" si="5"/>
        <v>308</v>
      </c>
      <c r="G28" s="19">
        <f>SUM(E28:F28)</f>
        <v>594</v>
      </c>
      <c r="H28" s="18">
        <f t="shared" si="6"/>
        <v>1201</v>
      </c>
      <c r="I28" s="19">
        <f t="shared" si="6"/>
        <v>1246</v>
      </c>
      <c r="J28" s="19">
        <f>SUM(H28:I28)</f>
        <v>2447</v>
      </c>
    </row>
    <row r="29" spans="1:10" ht="12.75">
      <c r="A29" s="2" t="s">
        <v>35</v>
      </c>
      <c r="B29" s="18">
        <f t="shared" si="4"/>
        <v>1238</v>
      </c>
      <c r="C29" s="19">
        <f t="shared" si="4"/>
        <v>1679</v>
      </c>
      <c r="D29" s="19">
        <f>SUM(B29:C29)</f>
        <v>2917</v>
      </c>
      <c r="E29" s="18">
        <f t="shared" si="5"/>
        <v>465</v>
      </c>
      <c r="F29" s="19">
        <f t="shared" si="5"/>
        <v>589</v>
      </c>
      <c r="G29" s="19">
        <f>SUM(E29:F29)</f>
        <v>1054</v>
      </c>
      <c r="H29" s="18">
        <f t="shared" si="6"/>
        <v>1703</v>
      </c>
      <c r="I29" s="19">
        <f t="shared" si="6"/>
        <v>2268</v>
      </c>
      <c r="J29" s="19">
        <f>SUM(H29:I29)</f>
        <v>3971</v>
      </c>
    </row>
    <row r="30" spans="1:10" s="1" customFormat="1" ht="12.75">
      <c r="A30" s="16" t="s">
        <v>5</v>
      </c>
      <c r="B30" s="20">
        <f aca="true" t="shared" si="7" ref="B30:J30">SUM(B26:B29)</f>
        <v>18760</v>
      </c>
      <c r="C30" s="21">
        <f t="shared" si="7"/>
        <v>31929</v>
      </c>
      <c r="D30" s="21">
        <f>SUM(B30:C30)</f>
        <v>50689</v>
      </c>
      <c r="E30" s="20">
        <f t="shared" si="7"/>
        <v>6314</v>
      </c>
      <c r="F30" s="21">
        <f t="shared" si="7"/>
        <v>10408</v>
      </c>
      <c r="G30" s="21">
        <f>SUM(E30:F30)</f>
        <v>16722</v>
      </c>
      <c r="H30" s="20">
        <f t="shared" si="7"/>
        <v>25074</v>
      </c>
      <c r="I30" s="21">
        <f t="shared" si="7"/>
        <v>42337</v>
      </c>
      <c r="J30" s="21">
        <f t="shared" si="7"/>
        <v>67411</v>
      </c>
    </row>
    <row r="31" spans="2:11" ht="12.75">
      <c r="B31" s="19"/>
      <c r="C31" s="19"/>
      <c r="D31" s="19"/>
      <c r="E31" s="19"/>
      <c r="F31" s="19"/>
      <c r="G31" s="19"/>
      <c r="H31" s="19"/>
      <c r="I31" s="19"/>
      <c r="J31" s="19"/>
      <c r="K31" s="190"/>
    </row>
    <row r="32" spans="1:11" s="191" customFormat="1" ht="12.75">
      <c r="A32" s="197"/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1" s="191" customFormat="1" ht="12.75">
      <c r="A33" s="198"/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s="191" customFormat="1" ht="12.75">
      <c r="A34" s="200"/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1200" verticalDpi="1200" orientation="portrait" paperSize="9" scale="85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95" sqref="A95"/>
    </sheetView>
  </sheetViews>
  <sheetFormatPr defaultColWidth="9.140625" defaultRowHeight="12" customHeight="1"/>
  <cols>
    <col min="1" max="1" width="32.28125" style="59" customWidth="1"/>
    <col min="2" max="2" width="12.28125" style="59" customWidth="1"/>
    <col min="3" max="3" width="9.140625" style="59" customWidth="1"/>
    <col min="4" max="4" width="12.28125" style="59" customWidth="1"/>
    <col min="5" max="16384" width="9.140625" style="59" customWidth="1"/>
  </cols>
  <sheetData>
    <row r="1" spans="1:10" ht="12" customHeight="1">
      <c r="A1" s="1" t="s">
        <v>60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" customHeight="1">
      <c r="A2" s="60" t="s">
        <v>17</v>
      </c>
      <c r="B2" s="61"/>
      <c r="C2" s="61"/>
      <c r="D2" s="61"/>
      <c r="E2" s="62"/>
      <c r="F2" s="62"/>
      <c r="G2" s="61"/>
      <c r="H2" s="61"/>
      <c r="I2" s="61"/>
      <c r="J2" s="61"/>
    </row>
    <row r="3" spans="1:10" ht="12" customHeight="1">
      <c r="A3" s="61"/>
      <c r="B3" s="61"/>
      <c r="C3" s="61"/>
      <c r="D3" s="61"/>
      <c r="E3" s="62"/>
      <c r="F3" s="60"/>
      <c r="G3" s="61"/>
      <c r="H3" s="61"/>
      <c r="I3" s="61"/>
      <c r="J3" s="61"/>
    </row>
    <row r="4" spans="1:10" ht="12" customHeight="1">
      <c r="A4" s="60" t="s">
        <v>63</v>
      </c>
      <c r="B4" s="61"/>
      <c r="C4" s="61"/>
      <c r="D4" s="61"/>
      <c r="E4" s="62"/>
      <c r="F4" s="62"/>
      <c r="G4" s="61"/>
      <c r="H4" s="61"/>
      <c r="I4" s="61"/>
      <c r="J4" s="61"/>
    </row>
    <row r="5" spans="1:10" ht="12" customHeight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0" ht="12" customHeight="1">
      <c r="A6" s="60" t="s">
        <v>18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2" customHeight="1">
      <c r="A7" s="60"/>
      <c r="B7" s="65"/>
      <c r="C7" s="65"/>
      <c r="D7" s="65"/>
      <c r="E7" s="65"/>
      <c r="F7" s="66"/>
      <c r="G7" s="65"/>
      <c r="H7" s="65"/>
      <c r="I7" s="65"/>
      <c r="J7" s="65"/>
    </row>
    <row r="8" spans="1:10" ht="12" customHeight="1">
      <c r="A8" s="60" t="s">
        <v>57</v>
      </c>
      <c r="B8" s="65"/>
      <c r="C8" s="65"/>
      <c r="D8" s="65"/>
      <c r="E8" s="65"/>
      <c r="F8" s="66"/>
      <c r="G8" s="65"/>
      <c r="H8" s="65"/>
      <c r="I8" s="65"/>
      <c r="J8" s="65"/>
    </row>
    <row r="9" spans="1:10" ht="12" customHeight="1" thickBot="1">
      <c r="A9" s="58"/>
      <c r="B9" s="64"/>
      <c r="C9" s="64"/>
      <c r="D9" s="64"/>
      <c r="E9" s="64"/>
      <c r="F9" s="64"/>
      <c r="G9" s="64"/>
      <c r="H9" s="64"/>
      <c r="I9" s="64"/>
      <c r="J9" s="64"/>
    </row>
    <row r="10" spans="1:10" ht="12" customHeight="1">
      <c r="A10" s="67"/>
      <c r="B10" s="68" t="s">
        <v>3</v>
      </c>
      <c r="C10" s="69"/>
      <c r="D10" s="69"/>
      <c r="E10" s="68" t="s">
        <v>4</v>
      </c>
      <c r="F10" s="69"/>
      <c r="G10" s="69"/>
      <c r="H10" s="68" t="s">
        <v>5</v>
      </c>
      <c r="I10" s="69"/>
      <c r="J10" s="69"/>
    </row>
    <row r="11" spans="1:10" ht="12" customHeight="1">
      <c r="A11" s="186" t="s">
        <v>19</v>
      </c>
      <c r="B11" s="70" t="s">
        <v>6</v>
      </c>
      <c r="C11" s="71" t="s">
        <v>7</v>
      </c>
      <c r="D11" s="71" t="s">
        <v>5</v>
      </c>
      <c r="E11" s="70" t="s">
        <v>6</v>
      </c>
      <c r="F11" s="71" t="s">
        <v>7</v>
      </c>
      <c r="G11" s="71" t="s">
        <v>5</v>
      </c>
      <c r="H11" s="70" t="s">
        <v>6</v>
      </c>
      <c r="I11" s="71" t="s">
        <v>7</v>
      </c>
      <c r="J11" s="71" t="s">
        <v>5</v>
      </c>
    </row>
    <row r="12" spans="1:10" ht="12" customHeight="1">
      <c r="A12" s="72"/>
      <c r="B12" s="73"/>
      <c r="C12" s="74"/>
      <c r="D12" s="74"/>
      <c r="E12" s="73"/>
      <c r="F12" s="74"/>
      <c r="G12" s="74"/>
      <c r="H12" s="73"/>
      <c r="I12" s="74"/>
      <c r="J12" s="74"/>
    </row>
    <row r="13" spans="1:10" ht="12" customHeight="1">
      <c r="A13" s="58" t="s">
        <v>20</v>
      </c>
      <c r="B13" s="75">
        <f aca="true" t="shared" si="0" ref="B13:C21">SUM(B36,B52,B68,B84)</f>
        <v>0</v>
      </c>
      <c r="C13" s="64">
        <f t="shared" si="0"/>
        <v>0</v>
      </c>
      <c r="D13" s="64">
        <f aca="true" t="shared" si="1" ref="D13:J13">SUM(D36,D52,D68,D84)</f>
        <v>0</v>
      </c>
      <c r="E13" s="75">
        <f aca="true" t="shared" si="2" ref="E13:G21">SUM(E36,E52,E68,E84)</f>
        <v>413</v>
      </c>
      <c r="F13" s="64">
        <f t="shared" si="2"/>
        <v>955</v>
      </c>
      <c r="G13" s="64">
        <f t="shared" si="2"/>
        <v>1368</v>
      </c>
      <c r="H13" s="75">
        <f t="shared" si="1"/>
        <v>413</v>
      </c>
      <c r="I13" s="64">
        <f t="shared" si="1"/>
        <v>955</v>
      </c>
      <c r="J13" s="64">
        <f t="shared" si="1"/>
        <v>1368</v>
      </c>
    </row>
    <row r="14" spans="1:10" ht="12" customHeight="1">
      <c r="A14" s="58" t="s">
        <v>21</v>
      </c>
      <c r="B14" s="75">
        <f t="shared" si="0"/>
        <v>295</v>
      </c>
      <c r="C14" s="64">
        <f t="shared" si="0"/>
        <v>784</v>
      </c>
      <c r="D14" s="64">
        <f aca="true" t="shared" si="3" ref="D14:J14">SUM(D37,D53,D69,D85)</f>
        <v>1079</v>
      </c>
      <c r="E14" s="75">
        <f t="shared" si="2"/>
        <v>1921</v>
      </c>
      <c r="F14" s="64">
        <f t="shared" si="2"/>
        <v>3759</v>
      </c>
      <c r="G14" s="64">
        <f t="shared" si="2"/>
        <v>5680</v>
      </c>
      <c r="H14" s="75">
        <f t="shared" si="3"/>
        <v>2216</v>
      </c>
      <c r="I14" s="64">
        <f t="shared" si="3"/>
        <v>4543</v>
      </c>
      <c r="J14" s="64">
        <f t="shared" si="3"/>
        <v>6759</v>
      </c>
    </row>
    <row r="15" spans="1:10" ht="12" customHeight="1">
      <c r="A15" s="58" t="s">
        <v>22</v>
      </c>
      <c r="B15" s="75">
        <f t="shared" si="0"/>
        <v>1656</v>
      </c>
      <c r="C15" s="64">
        <f t="shared" si="0"/>
        <v>3660</v>
      </c>
      <c r="D15" s="64">
        <f aca="true" t="shared" si="4" ref="D15:J15">SUM(D38,D54,D70,D86)</f>
        <v>5316</v>
      </c>
      <c r="E15" s="75">
        <f t="shared" si="2"/>
        <v>1194</v>
      </c>
      <c r="F15" s="64">
        <f t="shared" si="2"/>
        <v>1812</v>
      </c>
      <c r="G15" s="64">
        <f t="shared" si="2"/>
        <v>3006</v>
      </c>
      <c r="H15" s="75">
        <f t="shared" si="4"/>
        <v>2850</v>
      </c>
      <c r="I15" s="64">
        <f t="shared" si="4"/>
        <v>5472</v>
      </c>
      <c r="J15" s="64">
        <f t="shared" si="4"/>
        <v>8322</v>
      </c>
    </row>
    <row r="16" spans="1:10" ht="12" customHeight="1">
      <c r="A16" s="58" t="s">
        <v>23</v>
      </c>
      <c r="B16" s="73">
        <f t="shared" si="0"/>
        <v>2803</v>
      </c>
      <c r="C16" s="64">
        <f t="shared" si="0"/>
        <v>5247</v>
      </c>
      <c r="D16" s="64">
        <f aca="true" t="shared" si="5" ref="D16:J16">SUM(D39,D55,D71,D87)</f>
        <v>8050</v>
      </c>
      <c r="E16" s="75">
        <f t="shared" si="2"/>
        <v>716</v>
      </c>
      <c r="F16" s="64">
        <f t="shared" si="2"/>
        <v>1044</v>
      </c>
      <c r="G16" s="64">
        <f t="shared" si="2"/>
        <v>1760</v>
      </c>
      <c r="H16" s="75">
        <f t="shared" si="5"/>
        <v>3519</v>
      </c>
      <c r="I16" s="64">
        <f t="shared" si="5"/>
        <v>6291</v>
      </c>
      <c r="J16" s="64">
        <f t="shared" si="5"/>
        <v>9810</v>
      </c>
    </row>
    <row r="17" spans="1:10" ht="12" customHeight="1">
      <c r="A17" s="58" t="s">
        <v>24</v>
      </c>
      <c r="B17" s="73">
        <f t="shared" si="0"/>
        <v>2450</v>
      </c>
      <c r="C17" s="64">
        <f t="shared" si="0"/>
        <v>4397</v>
      </c>
      <c r="D17" s="64">
        <f aca="true" t="shared" si="6" ref="D17:J17">SUM(D40,D56,D72,D88)</f>
        <v>6847</v>
      </c>
      <c r="E17" s="75">
        <f t="shared" si="2"/>
        <v>432</v>
      </c>
      <c r="F17" s="64">
        <f t="shared" si="2"/>
        <v>563</v>
      </c>
      <c r="G17" s="64">
        <f t="shared" si="2"/>
        <v>995</v>
      </c>
      <c r="H17" s="75">
        <f t="shared" si="6"/>
        <v>2882</v>
      </c>
      <c r="I17" s="64">
        <f t="shared" si="6"/>
        <v>4960</v>
      </c>
      <c r="J17" s="64">
        <f t="shared" si="6"/>
        <v>7842</v>
      </c>
    </row>
    <row r="18" spans="1:10" ht="12" customHeight="1">
      <c r="A18" s="58" t="s">
        <v>25</v>
      </c>
      <c r="B18" s="73">
        <f t="shared" si="0"/>
        <v>2397</v>
      </c>
      <c r="C18" s="64">
        <f t="shared" si="0"/>
        <v>4135</v>
      </c>
      <c r="D18" s="64">
        <f aca="true" t="shared" si="7" ref="D18:J18">SUM(D41,D57,D73,D89)</f>
        <v>6532</v>
      </c>
      <c r="E18" s="75">
        <f t="shared" si="2"/>
        <v>359</v>
      </c>
      <c r="F18" s="64">
        <f t="shared" si="2"/>
        <v>471</v>
      </c>
      <c r="G18" s="64">
        <f t="shared" si="2"/>
        <v>830</v>
      </c>
      <c r="H18" s="75">
        <f t="shared" si="7"/>
        <v>2756</v>
      </c>
      <c r="I18" s="64">
        <f t="shared" si="7"/>
        <v>4606</v>
      </c>
      <c r="J18" s="64">
        <f t="shared" si="7"/>
        <v>7362</v>
      </c>
    </row>
    <row r="19" spans="1:10" ht="12" customHeight="1">
      <c r="A19" s="58" t="s">
        <v>26</v>
      </c>
      <c r="B19" s="73">
        <f t="shared" si="0"/>
        <v>2606</v>
      </c>
      <c r="C19" s="64">
        <f t="shared" si="0"/>
        <v>4016</v>
      </c>
      <c r="D19" s="64">
        <f aca="true" t="shared" si="8" ref="D19:J19">SUM(D42,D58,D74,D90)</f>
        <v>6622</v>
      </c>
      <c r="E19" s="75">
        <f t="shared" si="2"/>
        <v>280</v>
      </c>
      <c r="F19" s="64">
        <f t="shared" si="2"/>
        <v>261</v>
      </c>
      <c r="G19" s="64">
        <f t="shared" si="2"/>
        <v>541</v>
      </c>
      <c r="H19" s="75">
        <f t="shared" si="8"/>
        <v>2886</v>
      </c>
      <c r="I19" s="64">
        <f t="shared" si="8"/>
        <v>4277</v>
      </c>
      <c r="J19" s="64">
        <f t="shared" si="8"/>
        <v>7163</v>
      </c>
    </row>
    <row r="20" spans="1:10" ht="12" customHeight="1">
      <c r="A20" s="58" t="s">
        <v>27</v>
      </c>
      <c r="B20" s="73">
        <f t="shared" si="0"/>
        <v>3295</v>
      </c>
      <c r="C20" s="64">
        <f t="shared" si="0"/>
        <v>4583</v>
      </c>
      <c r="D20" s="64">
        <f aca="true" t="shared" si="9" ref="D20:J20">SUM(D43,D59,D75,D91)</f>
        <v>7878</v>
      </c>
      <c r="E20" s="75">
        <f t="shared" si="2"/>
        <v>178</v>
      </c>
      <c r="F20" s="64">
        <f t="shared" si="2"/>
        <v>101</v>
      </c>
      <c r="G20" s="64">
        <f t="shared" si="2"/>
        <v>279</v>
      </c>
      <c r="H20" s="75">
        <f t="shared" si="9"/>
        <v>3473</v>
      </c>
      <c r="I20" s="64">
        <f t="shared" si="9"/>
        <v>4684</v>
      </c>
      <c r="J20" s="64">
        <f t="shared" si="9"/>
        <v>8157</v>
      </c>
    </row>
    <row r="21" spans="1:10" ht="12" customHeight="1">
      <c r="A21" s="58" t="s">
        <v>28</v>
      </c>
      <c r="B21" s="73">
        <f t="shared" si="0"/>
        <v>1388</v>
      </c>
      <c r="C21" s="64">
        <f t="shared" si="0"/>
        <v>1414</v>
      </c>
      <c r="D21" s="76">
        <f aca="true" t="shared" si="10" ref="D21:J21">SUM(D44,D60,D76,D92)</f>
        <v>2802</v>
      </c>
      <c r="E21" s="75">
        <f t="shared" si="2"/>
        <v>118</v>
      </c>
      <c r="F21" s="64">
        <f t="shared" si="2"/>
        <v>50</v>
      </c>
      <c r="G21" s="76">
        <f t="shared" si="2"/>
        <v>168</v>
      </c>
      <c r="H21" s="75">
        <f t="shared" si="10"/>
        <v>1506</v>
      </c>
      <c r="I21" s="64">
        <f t="shared" si="10"/>
        <v>1464</v>
      </c>
      <c r="J21" s="76">
        <f t="shared" si="10"/>
        <v>2970</v>
      </c>
    </row>
    <row r="22" spans="1:10" ht="12" customHeight="1">
      <c r="A22" s="77" t="s">
        <v>5</v>
      </c>
      <c r="B22" s="78">
        <f aca="true" t="shared" si="11" ref="B22:J22">SUM(B45,B61,B77,B93)</f>
        <v>16890</v>
      </c>
      <c r="C22" s="79">
        <f t="shared" si="11"/>
        <v>28236</v>
      </c>
      <c r="D22" s="79">
        <f t="shared" si="11"/>
        <v>45126</v>
      </c>
      <c r="E22" s="78">
        <f t="shared" si="11"/>
        <v>5611</v>
      </c>
      <c r="F22" s="79">
        <f t="shared" si="11"/>
        <v>9016</v>
      </c>
      <c r="G22" s="79">
        <f t="shared" si="11"/>
        <v>14627</v>
      </c>
      <c r="H22" s="78">
        <f t="shared" si="11"/>
        <v>22501</v>
      </c>
      <c r="I22" s="79">
        <f t="shared" si="11"/>
        <v>37252</v>
      </c>
      <c r="J22" s="79">
        <f t="shared" si="11"/>
        <v>59753</v>
      </c>
    </row>
    <row r="24" spans="1:10" ht="12" customHeight="1">
      <c r="A24" s="1" t="s">
        <v>60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2" customHeight="1">
      <c r="A25" s="60" t="s">
        <v>17</v>
      </c>
      <c r="B25" s="61"/>
      <c r="C25" s="61"/>
      <c r="D25" s="61"/>
      <c r="E25" s="62"/>
      <c r="F25" s="62"/>
      <c r="G25" s="61"/>
      <c r="H25" s="61"/>
      <c r="I25" s="61"/>
      <c r="J25" s="61"/>
    </row>
    <row r="26" spans="1:10" ht="12" customHeight="1">
      <c r="A26" s="61"/>
      <c r="B26" s="61"/>
      <c r="C26" s="61"/>
      <c r="D26" s="61"/>
      <c r="E26" s="62"/>
      <c r="F26" s="60"/>
      <c r="G26" s="61"/>
      <c r="H26" s="61"/>
      <c r="I26" s="61"/>
      <c r="J26" s="61"/>
    </row>
    <row r="27" spans="1:10" ht="12" customHeight="1">
      <c r="A27" s="60" t="s">
        <v>63</v>
      </c>
      <c r="B27" s="61"/>
      <c r="C27" s="61"/>
      <c r="D27" s="61"/>
      <c r="E27" s="62"/>
      <c r="F27" s="62"/>
      <c r="G27" s="61"/>
      <c r="H27" s="61"/>
      <c r="I27" s="61"/>
      <c r="J27" s="61"/>
    </row>
    <row r="28" spans="1:10" ht="12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2" customHeight="1">
      <c r="A29" s="60" t="s">
        <v>18</v>
      </c>
      <c r="B29" s="65"/>
      <c r="C29" s="65"/>
      <c r="D29" s="65"/>
      <c r="E29" s="65"/>
      <c r="F29" s="66"/>
      <c r="G29" s="65"/>
      <c r="H29" s="65"/>
      <c r="I29" s="65"/>
      <c r="J29" s="65"/>
    </row>
    <row r="30" spans="1:10" ht="12" customHeight="1">
      <c r="A30" s="60"/>
      <c r="B30" s="65"/>
      <c r="C30" s="65"/>
      <c r="D30" s="65"/>
      <c r="E30" s="65"/>
      <c r="F30" s="66"/>
      <c r="G30" s="65"/>
      <c r="H30" s="65"/>
      <c r="I30" s="65"/>
      <c r="J30" s="65"/>
    </row>
    <row r="31" spans="1:10" ht="12" customHeight="1">
      <c r="A31" s="60" t="s">
        <v>31</v>
      </c>
      <c r="B31" s="65"/>
      <c r="C31" s="65"/>
      <c r="D31" s="65"/>
      <c r="E31" s="65"/>
      <c r="F31" s="66"/>
      <c r="G31" s="65"/>
      <c r="H31" s="65"/>
      <c r="I31" s="65"/>
      <c r="J31" s="65"/>
    </row>
    <row r="32" spans="1:10" ht="12" customHeight="1" thickBot="1">
      <c r="A32" s="58"/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2" customHeight="1">
      <c r="A33" s="67"/>
      <c r="B33" s="68" t="s">
        <v>3</v>
      </c>
      <c r="C33" s="69"/>
      <c r="D33" s="69"/>
      <c r="E33" s="68" t="s">
        <v>4</v>
      </c>
      <c r="F33" s="69"/>
      <c r="G33" s="69"/>
      <c r="H33" s="68" t="s">
        <v>5</v>
      </c>
      <c r="I33" s="69"/>
      <c r="J33" s="69"/>
    </row>
    <row r="34" spans="1:10" ht="12" customHeight="1">
      <c r="A34" s="186" t="s">
        <v>19</v>
      </c>
      <c r="B34" s="70" t="s">
        <v>6</v>
      </c>
      <c r="C34" s="71" t="s">
        <v>7</v>
      </c>
      <c r="D34" s="71" t="s">
        <v>5</v>
      </c>
      <c r="E34" s="70" t="s">
        <v>6</v>
      </c>
      <c r="F34" s="71" t="s">
        <v>7</v>
      </c>
      <c r="G34" s="71" t="s">
        <v>5</v>
      </c>
      <c r="H34" s="70" t="s">
        <v>6</v>
      </c>
      <c r="I34" s="71" t="s">
        <v>7</v>
      </c>
      <c r="J34" s="71" t="s">
        <v>5</v>
      </c>
    </row>
    <row r="35" spans="1:10" ht="12" customHeight="1">
      <c r="A35" s="72"/>
      <c r="B35" s="73"/>
      <c r="C35" s="74"/>
      <c r="D35" s="74"/>
      <c r="E35" s="73"/>
      <c r="F35" s="74"/>
      <c r="G35" s="74"/>
      <c r="H35" s="73"/>
      <c r="I35" s="74"/>
      <c r="J35" s="74"/>
    </row>
    <row r="36" spans="1:10" ht="12" customHeight="1">
      <c r="A36" s="58" t="s">
        <v>20</v>
      </c>
      <c r="B36" s="75">
        <v>0</v>
      </c>
      <c r="C36" s="64">
        <v>0</v>
      </c>
      <c r="D36" s="64">
        <f>SUM(B36:C36)</f>
        <v>0</v>
      </c>
      <c r="E36" s="75">
        <f>97-0</f>
        <v>97</v>
      </c>
      <c r="F36" s="64">
        <f>219-1</f>
        <v>218</v>
      </c>
      <c r="G36" s="64">
        <f aca="true" t="shared" si="12" ref="G36:G44">SUM(E36:F36)</f>
        <v>315</v>
      </c>
      <c r="H36" s="75">
        <f>SUM(B36,E36)</f>
        <v>97</v>
      </c>
      <c r="I36" s="64">
        <f>SUM(C36,F36)</f>
        <v>218</v>
      </c>
      <c r="J36" s="64">
        <f aca="true" t="shared" si="13" ref="J36:J44">SUM(H36:I36)</f>
        <v>315</v>
      </c>
    </row>
    <row r="37" spans="1:10" ht="12" customHeight="1">
      <c r="A37" s="58" t="s">
        <v>21</v>
      </c>
      <c r="B37" s="75">
        <f>95-0</f>
        <v>95</v>
      </c>
      <c r="C37" s="64">
        <f>229-3</f>
        <v>226</v>
      </c>
      <c r="D37" s="64">
        <f aca="true" t="shared" si="14" ref="D37:D44">SUM(B37:C37)</f>
        <v>321</v>
      </c>
      <c r="E37" s="75">
        <f>528-0</f>
        <v>528</v>
      </c>
      <c r="F37" s="64">
        <f>919-8</f>
        <v>911</v>
      </c>
      <c r="G37" s="64">
        <f t="shared" si="12"/>
        <v>1439</v>
      </c>
      <c r="H37" s="75">
        <f aca="true" t="shared" si="15" ref="H37:I44">SUM(B37,E37)</f>
        <v>623</v>
      </c>
      <c r="I37" s="64">
        <f t="shared" si="15"/>
        <v>1137</v>
      </c>
      <c r="J37" s="64">
        <f t="shared" si="13"/>
        <v>1760</v>
      </c>
    </row>
    <row r="38" spans="1:10" ht="12" customHeight="1">
      <c r="A38" s="58" t="s">
        <v>22</v>
      </c>
      <c r="B38" s="75">
        <f>440-3</f>
        <v>437</v>
      </c>
      <c r="C38" s="64">
        <f>852-9</f>
        <v>843</v>
      </c>
      <c r="D38" s="64">
        <f t="shared" si="14"/>
        <v>1280</v>
      </c>
      <c r="E38" s="75">
        <f>296-1</f>
        <v>295</v>
      </c>
      <c r="F38" s="64">
        <f>455-21</f>
        <v>434</v>
      </c>
      <c r="G38" s="64">
        <f t="shared" si="12"/>
        <v>729</v>
      </c>
      <c r="H38" s="75">
        <f t="shared" si="15"/>
        <v>732</v>
      </c>
      <c r="I38" s="64">
        <f t="shared" si="15"/>
        <v>1277</v>
      </c>
      <c r="J38" s="64">
        <f t="shared" si="13"/>
        <v>2009</v>
      </c>
    </row>
    <row r="39" spans="1:10" ht="12" customHeight="1">
      <c r="A39" s="58" t="s">
        <v>23</v>
      </c>
      <c r="B39" s="73">
        <f>636-4</f>
        <v>632</v>
      </c>
      <c r="C39" s="64">
        <f>1163-20</f>
        <v>1143</v>
      </c>
      <c r="D39" s="64">
        <f t="shared" si="14"/>
        <v>1775</v>
      </c>
      <c r="E39" s="75">
        <f>227-2</f>
        <v>225</v>
      </c>
      <c r="F39" s="64">
        <f>317-25</f>
        <v>292</v>
      </c>
      <c r="G39" s="64">
        <f t="shared" si="12"/>
        <v>517</v>
      </c>
      <c r="H39" s="75">
        <f t="shared" si="15"/>
        <v>857</v>
      </c>
      <c r="I39" s="64">
        <f t="shared" si="15"/>
        <v>1435</v>
      </c>
      <c r="J39" s="64">
        <f t="shared" si="13"/>
        <v>2292</v>
      </c>
    </row>
    <row r="40" spans="1:10" ht="12" customHeight="1">
      <c r="A40" s="58" t="s">
        <v>24</v>
      </c>
      <c r="B40" s="73">
        <f>561-10</f>
        <v>551</v>
      </c>
      <c r="C40" s="64">
        <f>901-30</f>
        <v>871</v>
      </c>
      <c r="D40" s="64">
        <f t="shared" si="14"/>
        <v>1422</v>
      </c>
      <c r="E40" s="75">
        <f>136-0</f>
        <v>136</v>
      </c>
      <c r="F40" s="64">
        <f>169-13</f>
        <v>156</v>
      </c>
      <c r="G40" s="64">
        <f t="shared" si="12"/>
        <v>292</v>
      </c>
      <c r="H40" s="75">
        <f t="shared" si="15"/>
        <v>687</v>
      </c>
      <c r="I40" s="64">
        <f t="shared" si="15"/>
        <v>1027</v>
      </c>
      <c r="J40" s="64">
        <f t="shared" si="13"/>
        <v>1714</v>
      </c>
    </row>
    <row r="41" spans="1:10" ht="12" customHeight="1">
      <c r="A41" s="58" t="s">
        <v>25</v>
      </c>
      <c r="B41" s="73">
        <f>457-1</f>
        <v>456</v>
      </c>
      <c r="C41" s="64">
        <f>810-19</f>
        <v>791</v>
      </c>
      <c r="D41" s="64">
        <f t="shared" si="14"/>
        <v>1247</v>
      </c>
      <c r="E41" s="75">
        <f>113-1</f>
        <v>112</v>
      </c>
      <c r="F41" s="64">
        <f>126-4</f>
        <v>122</v>
      </c>
      <c r="G41" s="64">
        <f t="shared" si="12"/>
        <v>234</v>
      </c>
      <c r="H41" s="75">
        <f t="shared" si="15"/>
        <v>568</v>
      </c>
      <c r="I41" s="64">
        <f t="shared" si="15"/>
        <v>913</v>
      </c>
      <c r="J41" s="64">
        <f t="shared" si="13"/>
        <v>1481</v>
      </c>
    </row>
    <row r="42" spans="1:10" ht="12" customHeight="1">
      <c r="A42" s="58" t="s">
        <v>26</v>
      </c>
      <c r="B42" s="73">
        <f>398-4</f>
        <v>394</v>
      </c>
      <c r="C42" s="64">
        <f>615-18</f>
        <v>597</v>
      </c>
      <c r="D42" s="64">
        <f t="shared" si="14"/>
        <v>991</v>
      </c>
      <c r="E42" s="75">
        <f>86-1</f>
        <v>85</v>
      </c>
      <c r="F42" s="64">
        <f>76-4</f>
        <v>72</v>
      </c>
      <c r="G42" s="64">
        <f t="shared" si="12"/>
        <v>157</v>
      </c>
      <c r="H42" s="75">
        <f t="shared" si="15"/>
        <v>479</v>
      </c>
      <c r="I42" s="64">
        <f t="shared" si="15"/>
        <v>669</v>
      </c>
      <c r="J42" s="64">
        <f t="shared" si="13"/>
        <v>1148</v>
      </c>
    </row>
    <row r="43" spans="1:10" ht="12" customHeight="1">
      <c r="A43" s="58" t="s">
        <v>27</v>
      </c>
      <c r="B43" s="73">
        <f>371-0</f>
        <v>371</v>
      </c>
      <c r="C43" s="64">
        <f>623-10</f>
        <v>613</v>
      </c>
      <c r="D43" s="64">
        <f t="shared" si="14"/>
        <v>984</v>
      </c>
      <c r="E43" s="75">
        <f>65-1</f>
        <v>64</v>
      </c>
      <c r="F43" s="64">
        <f>33-3</f>
        <v>30</v>
      </c>
      <c r="G43" s="64">
        <f t="shared" si="12"/>
        <v>94</v>
      </c>
      <c r="H43" s="75">
        <f>SUM(B43,E43)</f>
        <v>435</v>
      </c>
      <c r="I43" s="64">
        <f t="shared" si="15"/>
        <v>643</v>
      </c>
      <c r="J43" s="64">
        <f t="shared" si="13"/>
        <v>1078</v>
      </c>
    </row>
    <row r="44" spans="1:10" ht="12" customHeight="1">
      <c r="A44" s="58" t="s">
        <v>28</v>
      </c>
      <c r="B44" s="73">
        <f>264-1</f>
        <v>263</v>
      </c>
      <c r="C44" s="64">
        <f>281-3</f>
        <v>278</v>
      </c>
      <c r="D44" s="76">
        <f t="shared" si="14"/>
        <v>541</v>
      </c>
      <c r="E44" s="75">
        <f>32-0</f>
        <v>32</v>
      </c>
      <c r="F44" s="64">
        <f>18-1</f>
        <v>17</v>
      </c>
      <c r="G44" s="76">
        <f t="shared" si="12"/>
        <v>49</v>
      </c>
      <c r="H44" s="75">
        <f t="shared" si="15"/>
        <v>295</v>
      </c>
      <c r="I44" s="64">
        <f t="shared" si="15"/>
        <v>295</v>
      </c>
      <c r="J44" s="76">
        <f t="shared" si="13"/>
        <v>590</v>
      </c>
    </row>
    <row r="45" spans="1:10" ht="12" customHeight="1">
      <c r="A45" s="77" t="s">
        <v>5</v>
      </c>
      <c r="B45" s="79">
        <f aca="true" t="shared" si="16" ref="B45:J45">SUM(B36:B44)</f>
        <v>3199</v>
      </c>
      <c r="C45" s="79">
        <f t="shared" si="16"/>
        <v>5362</v>
      </c>
      <c r="D45" s="79">
        <f t="shared" si="16"/>
        <v>8561</v>
      </c>
      <c r="E45" s="79">
        <f t="shared" si="16"/>
        <v>1574</v>
      </c>
      <c r="F45" s="79">
        <f t="shared" si="16"/>
        <v>2252</v>
      </c>
      <c r="G45" s="79">
        <f t="shared" si="16"/>
        <v>3826</v>
      </c>
      <c r="H45" s="78">
        <f t="shared" si="16"/>
        <v>4773</v>
      </c>
      <c r="I45" s="79">
        <f t="shared" si="16"/>
        <v>7614</v>
      </c>
      <c r="J45" s="79">
        <f t="shared" si="16"/>
        <v>12387</v>
      </c>
    </row>
    <row r="47" spans="1:10" ht="12" customHeight="1">
      <c r="A47" s="60" t="s">
        <v>9</v>
      </c>
      <c r="B47" s="65"/>
      <c r="C47" s="65"/>
      <c r="D47" s="65"/>
      <c r="E47" s="65"/>
      <c r="F47" s="66"/>
      <c r="G47" s="65"/>
      <c r="H47" s="65"/>
      <c r="I47" s="65"/>
      <c r="J47" s="65"/>
    </row>
    <row r="48" spans="1:10" ht="12" customHeight="1" thickBot="1">
      <c r="A48" s="58"/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2" customHeight="1">
      <c r="A49" s="67"/>
      <c r="B49" s="68" t="s">
        <v>3</v>
      </c>
      <c r="C49" s="69"/>
      <c r="D49" s="69"/>
      <c r="E49" s="68" t="s">
        <v>4</v>
      </c>
      <c r="F49" s="69"/>
      <c r="G49" s="69"/>
      <c r="H49" s="68" t="s">
        <v>5</v>
      </c>
      <c r="I49" s="69"/>
      <c r="J49" s="69"/>
    </row>
    <row r="50" spans="1:10" ht="12" customHeight="1">
      <c r="A50" s="186" t="s">
        <v>19</v>
      </c>
      <c r="B50" s="70" t="s">
        <v>6</v>
      </c>
      <c r="C50" s="71" t="s">
        <v>7</v>
      </c>
      <c r="D50" s="71" t="s">
        <v>5</v>
      </c>
      <c r="E50" s="70" t="s">
        <v>6</v>
      </c>
      <c r="F50" s="71" t="s">
        <v>7</v>
      </c>
      <c r="G50" s="71" t="s">
        <v>5</v>
      </c>
      <c r="H50" s="70" t="s">
        <v>6</v>
      </c>
      <c r="I50" s="71" t="s">
        <v>7</v>
      </c>
      <c r="J50" s="71" t="s">
        <v>5</v>
      </c>
    </row>
    <row r="51" spans="1:10" ht="12" customHeight="1">
      <c r="A51" s="72"/>
      <c r="B51" s="73"/>
      <c r="C51" s="74"/>
      <c r="D51" s="74"/>
      <c r="E51" s="73"/>
      <c r="F51" s="74"/>
      <c r="G51" s="74"/>
      <c r="H51" s="73"/>
      <c r="I51" s="74"/>
      <c r="J51" s="74"/>
    </row>
    <row r="52" spans="1:10" ht="12" customHeight="1">
      <c r="A52" s="58" t="s">
        <v>20</v>
      </c>
      <c r="B52" s="75">
        <v>0</v>
      </c>
      <c r="C52" s="64">
        <v>0</v>
      </c>
      <c r="D52" s="64">
        <f>SUM(B52:C52)</f>
        <v>0</v>
      </c>
      <c r="E52" s="75">
        <f>280-0</f>
        <v>280</v>
      </c>
      <c r="F52" s="64">
        <f>689-3</f>
        <v>686</v>
      </c>
      <c r="G52" s="64">
        <f aca="true" t="shared" si="17" ref="G52:G60">SUM(E52:F52)</f>
        <v>966</v>
      </c>
      <c r="H52" s="75">
        <f>SUM(B52,E52)</f>
        <v>280</v>
      </c>
      <c r="I52" s="64">
        <f>SUM(C52,F52)</f>
        <v>686</v>
      </c>
      <c r="J52" s="64">
        <f aca="true" t="shared" si="18" ref="J52:J60">SUM(H52:I52)</f>
        <v>966</v>
      </c>
    </row>
    <row r="53" spans="1:10" ht="12" customHeight="1">
      <c r="A53" s="58" t="s">
        <v>21</v>
      </c>
      <c r="B53" s="75">
        <f>179-2</f>
        <v>177</v>
      </c>
      <c r="C53" s="64">
        <f>519-8</f>
        <v>511</v>
      </c>
      <c r="D53" s="64">
        <f aca="true" t="shared" si="19" ref="D53:D59">SUM(B53:C53)</f>
        <v>688</v>
      </c>
      <c r="E53" s="75">
        <f>1211-12</f>
        <v>1199</v>
      </c>
      <c r="F53" s="64">
        <f>2608-54</f>
        <v>2554</v>
      </c>
      <c r="G53" s="64">
        <f t="shared" si="17"/>
        <v>3753</v>
      </c>
      <c r="H53" s="75">
        <f aca="true" t="shared" si="20" ref="H53:I60">SUM(B53,E53)</f>
        <v>1376</v>
      </c>
      <c r="I53" s="64">
        <f t="shared" si="20"/>
        <v>3065</v>
      </c>
      <c r="J53" s="64">
        <f t="shared" si="18"/>
        <v>4441</v>
      </c>
    </row>
    <row r="54" spans="1:10" ht="12" customHeight="1">
      <c r="A54" s="58" t="s">
        <v>22</v>
      </c>
      <c r="B54" s="75">
        <f>1069-4</f>
        <v>1065</v>
      </c>
      <c r="C54" s="64">
        <f>2646-61</f>
        <v>2585</v>
      </c>
      <c r="D54" s="64">
        <f t="shared" si="19"/>
        <v>3650</v>
      </c>
      <c r="E54" s="75">
        <f>786-13</f>
        <v>773</v>
      </c>
      <c r="F54" s="64">
        <f>1283-50</f>
        <v>1233</v>
      </c>
      <c r="G54" s="64">
        <f t="shared" si="17"/>
        <v>2006</v>
      </c>
      <c r="H54" s="75">
        <f t="shared" si="20"/>
        <v>1838</v>
      </c>
      <c r="I54" s="64">
        <f t="shared" si="20"/>
        <v>3818</v>
      </c>
      <c r="J54" s="64">
        <f t="shared" si="18"/>
        <v>5656</v>
      </c>
    </row>
    <row r="55" spans="1:10" ht="12" customHeight="1">
      <c r="A55" s="58" t="s">
        <v>23</v>
      </c>
      <c r="B55" s="73">
        <f>1907-20</f>
        <v>1887</v>
      </c>
      <c r="C55" s="64">
        <f>3881-123</f>
        <v>3758</v>
      </c>
      <c r="D55" s="64">
        <f t="shared" si="19"/>
        <v>5645</v>
      </c>
      <c r="E55" s="75">
        <f>420-6</f>
        <v>414</v>
      </c>
      <c r="F55" s="64">
        <f>705-59</f>
        <v>646</v>
      </c>
      <c r="G55" s="64">
        <f t="shared" si="17"/>
        <v>1060</v>
      </c>
      <c r="H55" s="75">
        <f t="shared" si="20"/>
        <v>2301</v>
      </c>
      <c r="I55" s="64">
        <f t="shared" si="20"/>
        <v>4404</v>
      </c>
      <c r="J55" s="64">
        <f t="shared" si="18"/>
        <v>6705</v>
      </c>
    </row>
    <row r="56" spans="1:10" ht="12" customHeight="1">
      <c r="A56" s="58" t="s">
        <v>24</v>
      </c>
      <c r="B56" s="73">
        <f>1641-16</f>
        <v>1625</v>
      </c>
      <c r="C56" s="64">
        <f>3337-172</f>
        <v>3165</v>
      </c>
      <c r="D56" s="64">
        <f t="shared" si="19"/>
        <v>4790</v>
      </c>
      <c r="E56" s="75">
        <f>228-4</f>
        <v>224</v>
      </c>
      <c r="F56" s="64">
        <f>389-37</f>
        <v>352</v>
      </c>
      <c r="G56" s="64">
        <f t="shared" si="17"/>
        <v>576</v>
      </c>
      <c r="H56" s="75">
        <f t="shared" si="20"/>
        <v>1849</v>
      </c>
      <c r="I56" s="64">
        <f t="shared" si="20"/>
        <v>3517</v>
      </c>
      <c r="J56" s="64">
        <f t="shared" si="18"/>
        <v>5366</v>
      </c>
    </row>
    <row r="57" spans="1:10" ht="12" customHeight="1">
      <c r="A57" s="58" t="s">
        <v>25</v>
      </c>
      <c r="B57" s="73">
        <f>1699-27</f>
        <v>1672</v>
      </c>
      <c r="C57" s="64">
        <f>3184-154</f>
        <v>3030</v>
      </c>
      <c r="D57" s="64">
        <f t="shared" si="19"/>
        <v>4702</v>
      </c>
      <c r="E57" s="75">
        <f>200-4</f>
        <v>196</v>
      </c>
      <c r="F57" s="64">
        <f>320-19</f>
        <v>301</v>
      </c>
      <c r="G57" s="64">
        <f t="shared" si="17"/>
        <v>497</v>
      </c>
      <c r="H57" s="75">
        <f t="shared" si="20"/>
        <v>1868</v>
      </c>
      <c r="I57" s="64">
        <f t="shared" si="20"/>
        <v>3331</v>
      </c>
      <c r="J57" s="64">
        <f t="shared" si="18"/>
        <v>5199</v>
      </c>
    </row>
    <row r="58" spans="1:10" ht="12" customHeight="1">
      <c r="A58" s="58" t="s">
        <v>26</v>
      </c>
      <c r="B58" s="73">
        <f>1930-24</f>
        <v>1906</v>
      </c>
      <c r="C58" s="64">
        <f>3269-131</f>
        <v>3138</v>
      </c>
      <c r="D58" s="64">
        <f t="shared" si="19"/>
        <v>5044</v>
      </c>
      <c r="E58" s="75">
        <f>150-4</f>
        <v>146</v>
      </c>
      <c r="F58" s="64">
        <f>179-10</f>
        <v>169</v>
      </c>
      <c r="G58" s="64">
        <f t="shared" si="17"/>
        <v>315</v>
      </c>
      <c r="H58" s="75">
        <f t="shared" si="20"/>
        <v>2052</v>
      </c>
      <c r="I58" s="64">
        <f t="shared" si="20"/>
        <v>3307</v>
      </c>
      <c r="J58" s="64">
        <f t="shared" si="18"/>
        <v>5359</v>
      </c>
    </row>
    <row r="59" spans="1:10" ht="12" customHeight="1">
      <c r="A59" s="58" t="s">
        <v>27</v>
      </c>
      <c r="B59" s="73">
        <f>2518-9</f>
        <v>2509</v>
      </c>
      <c r="C59" s="64">
        <f>3600-86</f>
        <v>3514</v>
      </c>
      <c r="D59" s="64">
        <f t="shared" si="19"/>
        <v>6023</v>
      </c>
      <c r="E59" s="75">
        <f>90-4</f>
        <v>86</v>
      </c>
      <c r="F59" s="64">
        <f>59-5</f>
        <v>54</v>
      </c>
      <c r="G59" s="64">
        <f t="shared" si="17"/>
        <v>140</v>
      </c>
      <c r="H59" s="75">
        <f t="shared" si="20"/>
        <v>2595</v>
      </c>
      <c r="I59" s="64">
        <f t="shared" si="20"/>
        <v>3568</v>
      </c>
      <c r="J59" s="64">
        <f t="shared" si="18"/>
        <v>6163</v>
      </c>
    </row>
    <row r="60" spans="1:10" ht="12" customHeight="1">
      <c r="A60" s="58" t="s">
        <v>28</v>
      </c>
      <c r="B60" s="73">
        <f>974-6</f>
        <v>968</v>
      </c>
      <c r="C60" s="64">
        <f>1047-39</f>
        <v>1008</v>
      </c>
      <c r="D60" s="76">
        <f>SUM(B60:C60)</f>
        <v>1976</v>
      </c>
      <c r="E60" s="75">
        <f>72-5</f>
        <v>67</v>
      </c>
      <c r="F60" s="64">
        <f>31-1</f>
        <v>30</v>
      </c>
      <c r="G60" s="76">
        <f t="shared" si="17"/>
        <v>97</v>
      </c>
      <c r="H60" s="75">
        <f t="shared" si="20"/>
        <v>1035</v>
      </c>
      <c r="I60" s="64">
        <f t="shared" si="20"/>
        <v>1038</v>
      </c>
      <c r="J60" s="76">
        <f t="shared" si="18"/>
        <v>2073</v>
      </c>
    </row>
    <row r="61" spans="1:10" ht="12" customHeight="1">
      <c r="A61" s="77" t="s">
        <v>5</v>
      </c>
      <c r="B61" s="79">
        <f aca="true" t="shared" si="21" ref="B61:J61">SUM(B52:B60)</f>
        <v>11809</v>
      </c>
      <c r="C61" s="79">
        <f t="shared" si="21"/>
        <v>20709</v>
      </c>
      <c r="D61" s="79">
        <f t="shared" si="21"/>
        <v>32518</v>
      </c>
      <c r="E61" s="79">
        <f t="shared" si="21"/>
        <v>3385</v>
      </c>
      <c r="F61" s="79">
        <f t="shared" si="21"/>
        <v>6025</v>
      </c>
      <c r="G61" s="79">
        <f t="shared" si="21"/>
        <v>9410</v>
      </c>
      <c r="H61" s="78">
        <f t="shared" si="21"/>
        <v>15194</v>
      </c>
      <c r="I61" s="79">
        <f t="shared" si="21"/>
        <v>26734</v>
      </c>
      <c r="J61" s="79">
        <f t="shared" si="21"/>
        <v>41928</v>
      </c>
    </row>
    <row r="63" spans="1:10" ht="12" customHeight="1">
      <c r="A63" s="60" t="s">
        <v>10</v>
      </c>
      <c r="B63" s="65"/>
      <c r="C63" s="65"/>
      <c r="D63" s="65"/>
      <c r="E63" s="65"/>
      <c r="F63" s="66"/>
      <c r="G63" s="65"/>
      <c r="H63" s="65"/>
      <c r="I63" s="65"/>
      <c r="J63" s="65"/>
    </row>
    <row r="64" spans="1:10" ht="12" customHeight="1" thickBot="1">
      <c r="A64" s="58"/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2" customHeight="1">
      <c r="A65" s="67"/>
      <c r="B65" s="68" t="s">
        <v>3</v>
      </c>
      <c r="C65" s="69"/>
      <c r="D65" s="69"/>
      <c r="E65" s="68" t="s">
        <v>4</v>
      </c>
      <c r="F65" s="69"/>
      <c r="G65" s="69"/>
      <c r="H65" s="68" t="s">
        <v>5</v>
      </c>
      <c r="I65" s="69"/>
      <c r="J65" s="69"/>
    </row>
    <row r="66" spans="1:10" ht="12" customHeight="1">
      <c r="A66" s="186" t="s">
        <v>19</v>
      </c>
      <c r="B66" s="70" t="s">
        <v>6</v>
      </c>
      <c r="C66" s="71" t="s">
        <v>7</v>
      </c>
      <c r="D66" s="71" t="s">
        <v>5</v>
      </c>
      <c r="E66" s="70" t="s">
        <v>6</v>
      </c>
      <c r="F66" s="71" t="s">
        <v>7</v>
      </c>
      <c r="G66" s="71" t="s">
        <v>5</v>
      </c>
      <c r="H66" s="70" t="s">
        <v>6</v>
      </c>
      <c r="I66" s="71" t="s">
        <v>7</v>
      </c>
      <c r="J66" s="71" t="s">
        <v>5</v>
      </c>
    </row>
    <row r="67" spans="1:10" ht="12" customHeight="1">
      <c r="A67" s="72"/>
      <c r="B67" s="73"/>
      <c r="C67" s="74"/>
      <c r="D67" s="74"/>
      <c r="E67" s="73"/>
      <c r="F67" s="74"/>
      <c r="G67" s="74"/>
      <c r="H67" s="73"/>
      <c r="I67" s="74"/>
      <c r="J67" s="74"/>
    </row>
    <row r="68" spans="1:10" ht="12" customHeight="1">
      <c r="A68" s="58" t="s">
        <v>20</v>
      </c>
      <c r="B68" s="75">
        <v>0</v>
      </c>
      <c r="C68" s="64">
        <v>0</v>
      </c>
      <c r="D68" s="64">
        <f>SUM(B68:C68)</f>
        <v>0</v>
      </c>
      <c r="E68" s="75">
        <f>18-0</f>
        <v>18</v>
      </c>
      <c r="F68" s="64">
        <f>26-0</f>
        <v>26</v>
      </c>
      <c r="G68" s="64">
        <f aca="true" t="shared" si="22" ref="G68:G76">SUM(E68:F68)</f>
        <v>44</v>
      </c>
      <c r="H68" s="75">
        <f>SUM(B68,E68)</f>
        <v>18</v>
      </c>
      <c r="I68" s="64">
        <f>SUM(C68,F68)</f>
        <v>26</v>
      </c>
      <c r="J68" s="64">
        <f aca="true" t="shared" si="23" ref="J68:J76">SUM(H68:I68)</f>
        <v>44</v>
      </c>
    </row>
    <row r="69" spans="1:10" ht="12" customHeight="1">
      <c r="A69" s="58" t="s">
        <v>21</v>
      </c>
      <c r="B69" s="75">
        <f>8-0</f>
        <v>8</v>
      </c>
      <c r="C69" s="64">
        <f>23-2</f>
        <v>21</v>
      </c>
      <c r="D69" s="64">
        <f aca="true" t="shared" si="24" ref="D69:D76">SUM(B69:C69)</f>
        <v>29</v>
      </c>
      <c r="E69" s="75">
        <f>78-1</f>
        <v>77</v>
      </c>
      <c r="F69" s="64">
        <f>131-4</f>
        <v>127</v>
      </c>
      <c r="G69" s="64">
        <f t="shared" si="22"/>
        <v>204</v>
      </c>
      <c r="H69" s="75">
        <f aca="true" t="shared" si="25" ref="H69:I76">SUM(B69,E69)</f>
        <v>85</v>
      </c>
      <c r="I69" s="64">
        <f t="shared" si="25"/>
        <v>148</v>
      </c>
      <c r="J69" s="64">
        <f t="shared" si="23"/>
        <v>233</v>
      </c>
    </row>
    <row r="70" spans="1:10" ht="12" customHeight="1">
      <c r="A70" s="58" t="s">
        <v>22</v>
      </c>
      <c r="B70" s="75">
        <f>67-1</f>
        <v>66</v>
      </c>
      <c r="C70" s="64">
        <f>95-4</f>
        <v>91</v>
      </c>
      <c r="D70" s="64">
        <f t="shared" si="24"/>
        <v>157</v>
      </c>
      <c r="E70" s="75">
        <f>51-2</f>
        <v>49</v>
      </c>
      <c r="F70" s="64">
        <f>54-7</f>
        <v>47</v>
      </c>
      <c r="G70" s="64">
        <f t="shared" si="22"/>
        <v>96</v>
      </c>
      <c r="H70" s="75">
        <f t="shared" si="25"/>
        <v>115</v>
      </c>
      <c r="I70" s="64">
        <f t="shared" si="25"/>
        <v>138</v>
      </c>
      <c r="J70" s="64">
        <f t="shared" si="23"/>
        <v>253</v>
      </c>
    </row>
    <row r="71" spans="1:10" ht="12" customHeight="1">
      <c r="A71" s="58" t="s">
        <v>23</v>
      </c>
      <c r="B71" s="73">
        <f>115-3</f>
        <v>112</v>
      </c>
      <c r="C71" s="64">
        <f>146-3</f>
        <v>143</v>
      </c>
      <c r="D71" s="64">
        <f t="shared" si="24"/>
        <v>255</v>
      </c>
      <c r="E71" s="75">
        <f>33-0</f>
        <v>33</v>
      </c>
      <c r="F71" s="64">
        <f>38-1</f>
        <v>37</v>
      </c>
      <c r="G71" s="64">
        <f t="shared" si="22"/>
        <v>70</v>
      </c>
      <c r="H71" s="75">
        <f t="shared" si="25"/>
        <v>145</v>
      </c>
      <c r="I71" s="64">
        <f t="shared" si="25"/>
        <v>180</v>
      </c>
      <c r="J71" s="64">
        <f t="shared" si="23"/>
        <v>325</v>
      </c>
    </row>
    <row r="72" spans="1:10" ht="12" customHeight="1">
      <c r="A72" s="58" t="s">
        <v>24</v>
      </c>
      <c r="B72" s="73">
        <f>134-3</f>
        <v>131</v>
      </c>
      <c r="C72" s="64">
        <f>153-16</f>
        <v>137</v>
      </c>
      <c r="D72" s="64">
        <f t="shared" si="24"/>
        <v>268</v>
      </c>
      <c r="E72" s="75">
        <f>37-2</f>
        <v>35</v>
      </c>
      <c r="F72" s="64">
        <f>23-3</f>
        <v>20</v>
      </c>
      <c r="G72" s="64">
        <f t="shared" si="22"/>
        <v>55</v>
      </c>
      <c r="H72" s="75">
        <f t="shared" si="25"/>
        <v>166</v>
      </c>
      <c r="I72" s="64">
        <f t="shared" si="25"/>
        <v>157</v>
      </c>
      <c r="J72" s="64">
        <f t="shared" si="23"/>
        <v>323</v>
      </c>
    </row>
    <row r="73" spans="1:10" ht="12" customHeight="1">
      <c r="A73" s="58" t="s">
        <v>25</v>
      </c>
      <c r="B73" s="73">
        <f>127-3</f>
        <v>124</v>
      </c>
      <c r="C73" s="64">
        <f>131-20</f>
        <v>111</v>
      </c>
      <c r="D73" s="64">
        <f t="shared" si="24"/>
        <v>235</v>
      </c>
      <c r="E73" s="75">
        <f>22-0</f>
        <v>22</v>
      </c>
      <c r="F73" s="64">
        <f>22-1</f>
        <v>21</v>
      </c>
      <c r="G73" s="64">
        <f t="shared" si="22"/>
        <v>43</v>
      </c>
      <c r="H73" s="75">
        <f t="shared" si="25"/>
        <v>146</v>
      </c>
      <c r="I73" s="64">
        <f t="shared" si="25"/>
        <v>132</v>
      </c>
      <c r="J73" s="64">
        <f t="shared" si="23"/>
        <v>278</v>
      </c>
    </row>
    <row r="74" spans="1:10" ht="12" customHeight="1">
      <c r="A74" s="58" t="s">
        <v>26</v>
      </c>
      <c r="B74" s="73">
        <f>138-5</f>
        <v>133</v>
      </c>
      <c r="C74" s="64">
        <f>131-15</f>
        <v>116</v>
      </c>
      <c r="D74" s="64">
        <f t="shared" si="24"/>
        <v>249</v>
      </c>
      <c r="E74" s="75">
        <f>18-0</f>
        <v>18</v>
      </c>
      <c r="F74" s="64">
        <f>8-0</f>
        <v>8</v>
      </c>
      <c r="G74" s="64">
        <f t="shared" si="22"/>
        <v>26</v>
      </c>
      <c r="H74" s="75">
        <f t="shared" si="25"/>
        <v>151</v>
      </c>
      <c r="I74" s="64">
        <f t="shared" si="25"/>
        <v>124</v>
      </c>
      <c r="J74" s="64">
        <f t="shared" si="23"/>
        <v>275</v>
      </c>
    </row>
    <row r="75" spans="1:10" ht="12" customHeight="1">
      <c r="A75" s="58" t="s">
        <v>27</v>
      </c>
      <c r="B75" s="73">
        <f>223-0</f>
        <v>223</v>
      </c>
      <c r="C75" s="64">
        <f>232-12</f>
        <v>220</v>
      </c>
      <c r="D75" s="64">
        <f t="shared" si="24"/>
        <v>443</v>
      </c>
      <c r="E75" s="75">
        <f>9-0</f>
        <v>9</v>
      </c>
      <c r="F75" s="64">
        <f>7-0</f>
        <v>7</v>
      </c>
      <c r="G75" s="64">
        <f t="shared" si="22"/>
        <v>16</v>
      </c>
      <c r="H75" s="75">
        <f t="shared" si="25"/>
        <v>232</v>
      </c>
      <c r="I75" s="64">
        <f t="shared" si="25"/>
        <v>227</v>
      </c>
      <c r="J75" s="64">
        <f t="shared" si="23"/>
        <v>459</v>
      </c>
    </row>
    <row r="76" spans="1:10" ht="12" customHeight="1">
      <c r="A76" s="58" t="s">
        <v>28</v>
      </c>
      <c r="B76" s="73">
        <f>78-1</f>
        <v>77</v>
      </c>
      <c r="C76" s="64">
        <f>50-5</f>
        <v>45</v>
      </c>
      <c r="D76" s="76">
        <f t="shared" si="24"/>
        <v>122</v>
      </c>
      <c r="E76" s="75">
        <f>6-0</f>
        <v>6</v>
      </c>
      <c r="F76" s="64">
        <f>1-0</f>
        <v>1</v>
      </c>
      <c r="G76" s="76">
        <f t="shared" si="22"/>
        <v>7</v>
      </c>
      <c r="H76" s="75">
        <f t="shared" si="25"/>
        <v>83</v>
      </c>
      <c r="I76" s="64">
        <f t="shared" si="25"/>
        <v>46</v>
      </c>
      <c r="J76" s="76">
        <f t="shared" si="23"/>
        <v>129</v>
      </c>
    </row>
    <row r="77" spans="1:10" ht="12" customHeight="1">
      <c r="A77" s="77" t="s">
        <v>5</v>
      </c>
      <c r="B77" s="78">
        <f aca="true" t="shared" si="26" ref="B77:J77">SUM(B68:B76)</f>
        <v>874</v>
      </c>
      <c r="C77" s="79">
        <f t="shared" si="26"/>
        <v>884</v>
      </c>
      <c r="D77" s="79">
        <f t="shared" si="26"/>
        <v>1758</v>
      </c>
      <c r="E77" s="78">
        <f t="shared" si="26"/>
        <v>267</v>
      </c>
      <c r="F77" s="79">
        <f t="shared" si="26"/>
        <v>294</v>
      </c>
      <c r="G77" s="79">
        <f t="shared" si="26"/>
        <v>561</v>
      </c>
      <c r="H77" s="78">
        <f t="shared" si="26"/>
        <v>1141</v>
      </c>
      <c r="I77" s="79">
        <f t="shared" si="26"/>
        <v>1178</v>
      </c>
      <c r="J77" s="79">
        <f t="shared" si="26"/>
        <v>2319</v>
      </c>
    </row>
    <row r="79" spans="1:10" ht="12" customHeight="1">
      <c r="A79" s="60" t="s">
        <v>11</v>
      </c>
      <c r="B79" s="65"/>
      <c r="C79" s="65"/>
      <c r="D79" s="65"/>
      <c r="E79" s="65"/>
      <c r="F79" s="66"/>
      <c r="G79" s="65"/>
      <c r="H79" s="65"/>
      <c r="I79" s="65"/>
      <c r="J79" s="65"/>
    </row>
    <row r="80" spans="1:10" ht="12" customHeight="1" thickBot="1">
      <c r="A80" s="58"/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2" customHeight="1">
      <c r="A81" s="67"/>
      <c r="B81" s="68" t="s">
        <v>3</v>
      </c>
      <c r="C81" s="69"/>
      <c r="D81" s="69"/>
      <c r="E81" s="68" t="s">
        <v>4</v>
      </c>
      <c r="F81" s="69"/>
      <c r="G81" s="69"/>
      <c r="H81" s="68" t="s">
        <v>5</v>
      </c>
      <c r="I81" s="69"/>
      <c r="J81" s="69"/>
    </row>
    <row r="82" spans="1:10" ht="12" customHeight="1">
      <c r="A82" s="186" t="s">
        <v>19</v>
      </c>
      <c r="B82" s="70" t="s">
        <v>6</v>
      </c>
      <c r="C82" s="71" t="s">
        <v>7</v>
      </c>
      <c r="D82" s="71" t="s">
        <v>5</v>
      </c>
      <c r="E82" s="70" t="s">
        <v>6</v>
      </c>
      <c r="F82" s="71" t="s">
        <v>7</v>
      </c>
      <c r="G82" s="71" t="s">
        <v>5</v>
      </c>
      <c r="H82" s="70" t="s">
        <v>6</v>
      </c>
      <c r="I82" s="71" t="s">
        <v>7</v>
      </c>
      <c r="J82" s="71" t="s">
        <v>5</v>
      </c>
    </row>
    <row r="83" spans="1:10" ht="12" customHeight="1">
      <c r="A83" s="72"/>
      <c r="B83" s="73"/>
      <c r="C83" s="74"/>
      <c r="D83" s="74"/>
      <c r="E83" s="73"/>
      <c r="F83" s="74"/>
      <c r="G83" s="74"/>
      <c r="H83" s="73"/>
      <c r="I83" s="74"/>
      <c r="J83" s="74"/>
    </row>
    <row r="84" spans="1:10" ht="12" customHeight="1">
      <c r="A84" s="58" t="s">
        <v>20</v>
      </c>
      <c r="B84" s="75">
        <v>0</v>
      </c>
      <c r="C84" s="64">
        <v>0</v>
      </c>
      <c r="D84" s="64">
        <f>SUM(B84:C84)</f>
        <v>0</v>
      </c>
      <c r="E84" s="75">
        <f>18-0</f>
        <v>18</v>
      </c>
      <c r="F84" s="64">
        <f>25-0</f>
        <v>25</v>
      </c>
      <c r="G84" s="64">
        <f aca="true" t="shared" si="27" ref="G84:G92">SUM(E84:F84)</f>
        <v>43</v>
      </c>
      <c r="H84" s="75">
        <f>SUM(B84,E84)</f>
        <v>18</v>
      </c>
      <c r="I84" s="64">
        <f>SUM(C84,F84)</f>
        <v>25</v>
      </c>
      <c r="J84" s="64">
        <f aca="true" t="shared" si="28" ref="J84:J92">SUM(H84:I84)</f>
        <v>43</v>
      </c>
    </row>
    <row r="85" spans="1:10" ht="12" customHeight="1">
      <c r="A85" s="58" t="s">
        <v>21</v>
      </c>
      <c r="B85" s="75">
        <f>15-0</f>
        <v>15</v>
      </c>
      <c r="C85" s="64">
        <f>26-0</f>
        <v>26</v>
      </c>
      <c r="D85" s="64">
        <f aca="true" t="shared" si="29" ref="D85:D91">SUM(B85:C85)</f>
        <v>41</v>
      </c>
      <c r="E85" s="75">
        <f>118-1</f>
        <v>117</v>
      </c>
      <c r="F85" s="64">
        <f>168-1</f>
        <v>167</v>
      </c>
      <c r="G85" s="64">
        <f t="shared" si="27"/>
        <v>284</v>
      </c>
      <c r="H85" s="75">
        <f aca="true" t="shared" si="30" ref="H85:I91">SUM(B85,E85)</f>
        <v>132</v>
      </c>
      <c r="I85" s="64">
        <f t="shared" si="30"/>
        <v>193</v>
      </c>
      <c r="J85" s="64">
        <f t="shared" si="28"/>
        <v>325</v>
      </c>
    </row>
    <row r="86" spans="1:10" ht="12" customHeight="1">
      <c r="A86" s="58" t="s">
        <v>22</v>
      </c>
      <c r="B86" s="75">
        <f>88-0</f>
        <v>88</v>
      </c>
      <c r="C86" s="64">
        <f>141-0</f>
        <v>141</v>
      </c>
      <c r="D86" s="64">
        <f t="shared" si="29"/>
        <v>229</v>
      </c>
      <c r="E86" s="75">
        <f>77-0</f>
        <v>77</v>
      </c>
      <c r="F86" s="64">
        <f>99-1</f>
        <v>98</v>
      </c>
      <c r="G86" s="64">
        <f t="shared" si="27"/>
        <v>175</v>
      </c>
      <c r="H86" s="75">
        <f t="shared" si="30"/>
        <v>165</v>
      </c>
      <c r="I86" s="64">
        <f t="shared" si="30"/>
        <v>239</v>
      </c>
      <c r="J86" s="64">
        <f t="shared" si="28"/>
        <v>404</v>
      </c>
    </row>
    <row r="87" spans="1:10" ht="12" customHeight="1">
      <c r="A87" s="58" t="s">
        <v>23</v>
      </c>
      <c r="B87" s="73">
        <f>172-0</f>
        <v>172</v>
      </c>
      <c r="C87" s="64">
        <f>203-0</f>
        <v>203</v>
      </c>
      <c r="D87" s="64">
        <f t="shared" si="29"/>
        <v>375</v>
      </c>
      <c r="E87" s="75">
        <f>44-0</f>
        <v>44</v>
      </c>
      <c r="F87" s="64">
        <f>71-2</f>
        <v>69</v>
      </c>
      <c r="G87" s="64">
        <f t="shared" si="27"/>
        <v>113</v>
      </c>
      <c r="H87" s="75">
        <f t="shared" si="30"/>
        <v>216</v>
      </c>
      <c r="I87" s="64">
        <f t="shared" si="30"/>
        <v>272</v>
      </c>
      <c r="J87" s="64">
        <f t="shared" si="28"/>
        <v>488</v>
      </c>
    </row>
    <row r="88" spans="1:10" ht="12" customHeight="1">
      <c r="A88" s="58" t="s">
        <v>24</v>
      </c>
      <c r="B88" s="73">
        <f>144-1</f>
        <v>143</v>
      </c>
      <c r="C88" s="64">
        <f>228-4</f>
        <v>224</v>
      </c>
      <c r="D88" s="64">
        <f t="shared" si="29"/>
        <v>367</v>
      </c>
      <c r="E88" s="75">
        <f>37-0</f>
        <v>37</v>
      </c>
      <c r="F88" s="64">
        <f>37-2</f>
        <v>35</v>
      </c>
      <c r="G88" s="64">
        <f t="shared" si="27"/>
        <v>72</v>
      </c>
      <c r="H88" s="75">
        <f t="shared" si="30"/>
        <v>180</v>
      </c>
      <c r="I88" s="64">
        <f t="shared" si="30"/>
        <v>259</v>
      </c>
      <c r="J88" s="64">
        <f t="shared" si="28"/>
        <v>439</v>
      </c>
    </row>
    <row r="89" spans="1:10" ht="12" customHeight="1">
      <c r="A89" s="58" t="s">
        <v>25</v>
      </c>
      <c r="B89" s="73">
        <f>147-2</f>
        <v>145</v>
      </c>
      <c r="C89" s="64">
        <f>205-2</f>
        <v>203</v>
      </c>
      <c r="D89" s="64">
        <f t="shared" si="29"/>
        <v>348</v>
      </c>
      <c r="E89" s="75">
        <f>29-0</f>
        <v>29</v>
      </c>
      <c r="F89" s="64">
        <f>31-4</f>
        <v>27</v>
      </c>
      <c r="G89" s="64">
        <f t="shared" si="27"/>
        <v>56</v>
      </c>
      <c r="H89" s="75">
        <f t="shared" si="30"/>
        <v>174</v>
      </c>
      <c r="I89" s="64">
        <f t="shared" si="30"/>
        <v>230</v>
      </c>
      <c r="J89" s="64">
        <f t="shared" si="28"/>
        <v>404</v>
      </c>
    </row>
    <row r="90" spans="1:10" ht="12" customHeight="1">
      <c r="A90" s="58" t="s">
        <v>26</v>
      </c>
      <c r="B90" s="73">
        <f>173-0</f>
        <v>173</v>
      </c>
      <c r="C90" s="64">
        <f>171-6</f>
        <v>165</v>
      </c>
      <c r="D90" s="64">
        <f t="shared" si="29"/>
        <v>338</v>
      </c>
      <c r="E90" s="75">
        <f>31-0</f>
        <v>31</v>
      </c>
      <c r="F90" s="64">
        <f>13-1</f>
        <v>12</v>
      </c>
      <c r="G90" s="64">
        <f t="shared" si="27"/>
        <v>43</v>
      </c>
      <c r="H90" s="75">
        <f t="shared" si="30"/>
        <v>204</v>
      </c>
      <c r="I90" s="64">
        <f t="shared" si="30"/>
        <v>177</v>
      </c>
      <c r="J90" s="64">
        <f t="shared" si="28"/>
        <v>381</v>
      </c>
    </row>
    <row r="91" spans="1:10" ht="12" customHeight="1">
      <c r="A91" s="58" t="s">
        <v>27</v>
      </c>
      <c r="B91" s="73">
        <f>192-0</f>
        <v>192</v>
      </c>
      <c r="C91" s="64">
        <f>238-2</f>
        <v>236</v>
      </c>
      <c r="D91" s="64">
        <f t="shared" si="29"/>
        <v>428</v>
      </c>
      <c r="E91" s="75">
        <f>20-1</f>
        <v>19</v>
      </c>
      <c r="F91" s="64">
        <f>11-1</f>
        <v>10</v>
      </c>
      <c r="G91" s="64">
        <f t="shared" si="27"/>
        <v>29</v>
      </c>
      <c r="H91" s="75">
        <f t="shared" si="30"/>
        <v>211</v>
      </c>
      <c r="I91" s="64">
        <f t="shared" si="30"/>
        <v>246</v>
      </c>
      <c r="J91" s="64">
        <f t="shared" si="28"/>
        <v>457</v>
      </c>
    </row>
    <row r="92" spans="1:10" ht="12" customHeight="1">
      <c r="A92" s="58" t="s">
        <v>28</v>
      </c>
      <c r="B92" s="64">
        <f>80-0</f>
        <v>80</v>
      </c>
      <c r="C92" s="59">
        <f>83-0</f>
        <v>83</v>
      </c>
      <c r="D92" s="76">
        <f>SUM(B92:C92)</f>
        <v>163</v>
      </c>
      <c r="E92" s="75">
        <f>13-0</f>
        <v>13</v>
      </c>
      <c r="F92" s="64">
        <f>2-0</f>
        <v>2</v>
      </c>
      <c r="G92" s="76">
        <f t="shared" si="27"/>
        <v>15</v>
      </c>
      <c r="H92" s="75">
        <f>SUM(B92,E92)</f>
        <v>93</v>
      </c>
      <c r="I92" s="64">
        <f>SUM(C92,F92)</f>
        <v>85</v>
      </c>
      <c r="J92" s="76">
        <f t="shared" si="28"/>
        <v>178</v>
      </c>
    </row>
    <row r="93" spans="1:10" ht="12" customHeight="1">
      <c r="A93" s="77" t="s">
        <v>5</v>
      </c>
      <c r="B93" s="78">
        <f aca="true" t="shared" si="31" ref="B93:J93">SUM(B84:B92)</f>
        <v>1008</v>
      </c>
      <c r="C93" s="79">
        <f t="shared" si="31"/>
        <v>1281</v>
      </c>
      <c r="D93" s="79">
        <f t="shared" si="31"/>
        <v>2289</v>
      </c>
      <c r="E93" s="78">
        <f t="shared" si="31"/>
        <v>385</v>
      </c>
      <c r="F93" s="79">
        <f t="shared" si="31"/>
        <v>445</v>
      </c>
      <c r="G93" s="79">
        <f t="shared" si="31"/>
        <v>830</v>
      </c>
      <c r="H93" s="78">
        <f t="shared" si="31"/>
        <v>1393</v>
      </c>
      <c r="I93" s="79">
        <f t="shared" si="31"/>
        <v>1726</v>
      </c>
      <c r="J93" s="79">
        <f t="shared" si="31"/>
        <v>3119</v>
      </c>
    </row>
    <row r="95" spans="1:10" s="191" customFormat="1" ht="12.75">
      <c r="A95" s="197"/>
      <c r="B95" s="195"/>
      <c r="C95" s="195"/>
      <c r="D95" s="195"/>
      <c r="E95" s="195"/>
      <c r="F95" s="195"/>
      <c r="G95" s="195"/>
      <c r="H95" s="195"/>
      <c r="I95" s="195"/>
      <c r="J95" s="195"/>
    </row>
    <row r="96" spans="1:10" s="191" customFormat="1" ht="12.75">
      <c r="A96" s="198"/>
      <c r="B96" s="195"/>
      <c r="C96" s="195"/>
      <c r="D96" s="195"/>
      <c r="E96" s="195"/>
      <c r="F96" s="195"/>
      <c r="G96" s="195"/>
      <c r="H96" s="195"/>
      <c r="I96" s="195"/>
      <c r="J96" s="195"/>
    </row>
    <row r="97" spans="1:10" s="191" customFormat="1" ht="12.75">
      <c r="A97" s="200"/>
      <c r="B97" s="195"/>
      <c r="C97" s="195"/>
      <c r="D97" s="195"/>
      <c r="E97" s="195"/>
      <c r="F97" s="195"/>
      <c r="G97" s="195"/>
      <c r="H97" s="195"/>
      <c r="I97" s="195"/>
      <c r="J97" s="195"/>
    </row>
  </sheetData>
  <sheetProtection/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  <headerFooter alignWithMargins="0">
    <oddFooter>&amp;L
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95" sqref="A95"/>
    </sheetView>
  </sheetViews>
  <sheetFormatPr defaultColWidth="9.140625" defaultRowHeight="12" customHeight="1"/>
  <cols>
    <col min="1" max="1" width="31.421875" style="88" customWidth="1"/>
    <col min="2" max="16384" width="9.140625" style="88" customWidth="1"/>
  </cols>
  <sheetData>
    <row r="1" spans="1:10" s="81" customFormat="1" ht="12" customHeight="1">
      <c r="A1" s="1" t="s">
        <v>60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81" customFormat="1" ht="12" customHeight="1">
      <c r="A2" s="82" t="s">
        <v>17</v>
      </c>
      <c r="B2" s="83"/>
      <c r="C2" s="83"/>
      <c r="D2" s="83"/>
      <c r="E2" s="84"/>
      <c r="F2" s="84"/>
      <c r="G2" s="83"/>
      <c r="H2" s="83"/>
      <c r="I2" s="83"/>
      <c r="J2" s="83"/>
    </row>
    <row r="3" spans="1:10" s="81" customFormat="1" ht="12" customHeight="1">
      <c r="A3" s="83"/>
      <c r="B3" s="83"/>
      <c r="C3" s="83"/>
      <c r="D3" s="83"/>
      <c r="E3" s="84"/>
      <c r="F3" s="82"/>
      <c r="G3" s="83"/>
      <c r="H3" s="83"/>
      <c r="I3" s="83"/>
      <c r="J3" s="83"/>
    </row>
    <row r="4" spans="1:10" s="81" customFormat="1" ht="12" customHeight="1">
      <c r="A4" s="82" t="s">
        <v>63</v>
      </c>
      <c r="B4" s="83"/>
      <c r="C4" s="83"/>
      <c r="D4" s="83"/>
      <c r="E4" s="84"/>
      <c r="F4" s="84"/>
      <c r="G4" s="83"/>
      <c r="H4" s="83"/>
      <c r="I4" s="83"/>
      <c r="J4" s="83"/>
    </row>
    <row r="5" spans="2:10" s="81" customFormat="1" ht="12" customHeight="1">
      <c r="B5" s="85"/>
      <c r="C5" s="85"/>
      <c r="D5" s="85"/>
      <c r="E5" s="85"/>
      <c r="F5" s="85"/>
      <c r="G5" s="85"/>
      <c r="H5" s="85"/>
      <c r="I5" s="85"/>
      <c r="J5" s="85"/>
    </row>
    <row r="6" spans="1:10" ht="12" customHeight="1">
      <c r="A6" s="82" t="s">
        <v>29</v>
      </c>
      <c r="B6" s="86"/>
      <c r="C6" s="86"/>
      <c r="D6" s="86"/>
      <c r="E6" s="86"/>
      <c r="F6" s="87"/>
      <c r="G6" s="86"/>
      <c r="H6" s="86"/>
      <c r="I6" s="86"/>
      <c r="J6" s="86"/>
    </row>
    <row r="7" spans="1:10" ht="12" customHeight="1">
      <c r="A7" s="82"/>
      <c r="B7" s="86"/>
      <c r="C7" s="86"/>
      <c r="D7" s="86"/>
      <c r="E7" s="86"/>
      <c r="F7" s="87"/>
      <c r="G7" s="86"/>
      <c r="H7" s="86"/>
      <c r="I7" s="86"/>
      <c r="J7" s="86"/>
    </row>
    <row r="8" spans="1:10" ht="12" customHeight="1">
      <c r="A8" s="82" t="s">
        <v>57</v>
      </c>
      <c r="B8" s="86"/>
      <c r="C8" s="86"/>
      <c r="D8" s="86"/>
      <c r="E8" s="86"/>
      <c r="F8" s="87"/>
      <c r="G8" s="86"/>
      <c r="H8" s="86"/>
      <c r="I8" s="86"/>
      <c r="J8" s="86"/>
    </row>
    <row r="9" spans="1:10" ht="12" customHeight="1" thickBot="1">
      <c r="A9" s="80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89"/>
      <c r="B10" s="90" t="s">
        <v>3</v>
      </c>
      <c r="C10" s="91"/>
      <c r="D10" s="91"/>
      <c r="E10" s="90" t="s">
        <v>4</v>
      </c>
      <c r="F10" s="91"/>
      <c r="G10" s="91"/>
      <c r="H10" s="90" t="s">
        <v>5</v>
      </c>
      <c r="I10" s="91"/>
      <c r="J10" s="91"/>
    </row>
    <row r="11" spans="1:10" ht="12" customHeight="1">
      <c r="A11" s="187" t="s">
        <v>19</v>
      </c>
      <c r="B11" s="92" t="s">
        <v>6</v>
      </c>
      <c r="C11" s="93" t="s">
        <v>7</v>
      </c>
      <c r="D11" s="93" t="s">
        <v>5</v>
      </c>
      <c r="E11" s="92" t="s">
        <v>6</v>
      </c>
      <c r="F11" s="93" t="s">
        <v>7</v>
      </c>
      <c r="G11" s="93" t="s">
        <v>5</v>
      </c>
      <c r="H11" s="92" t="s">
        <v>6</v>
      </c>
      <c r="I11" s="93" t="s">
        <v>7</v>
      </c>
      <c r="J11" s="93" t="s">
        <v>5</v>
      </c>
    </row>
    <row r="12" spans="1:10" ht="12" customHeight="1">
      <c r="A12" s="94"/>
      <c r="B12" s="95"/>
      <c r="C12" s="96"/>
      <c r="D12" s="96"/>
      <c r="E12" s="95"/>
      <c r="F12" s="96"/>
      <c r="G12" s="96"/>
      <c r="H12" s="95"/>
      <c r="I12" s="96"/>
      <c r="J12" s="96"/>
    </row>
    <row r="13" spans="1:10" ht="12" customHeight="1">
      <c r="A13" s="80" t="s">
        <v>20</v>
      </c>
      <c r="B13" s="97">
        <f aca="true" t="shared" si="0" ref="B13:J13">SUM(B36,B52,B68,B84)</f>
        <v>0</v>
      </c>
      <c r="C13" s="85">
        <f t="shared" si="0"/>
        <v>0</v>
      </c>
      <c r="D13" s="85">
        <f t="shared" si="0"/>
        <v>0</v>
      </c>
      <c r="E13" s="97">
        <f t="shared" si="0"/>
        <v>41</v>
      </c>
      <c r="F13" s="85">
        <f t="shared" si="0"/>
        <v>145</v>
      </c>
      <c r="G13" s="85">
        <f t="shared" si="0"/>
        <v>186</v>
      </c>
      <c r="H13" s="97">
        <f t="shared" si="0"/>
        <v>41</v>
      </c>
      <c r="I13" s="85">
        <f t="shared" si="0"/>
        <v>145</v>
      </c>
      <c r="J13" s="85">
        <f t="shared" si="0"/>
        <v>186</v>
      </c>
    </row>
    <row r="14" spans="1:10" ht="12" customHeight="1">
      <c r="A14" s="80" t="s">
        <v>21</v>
      </c>
      <c r="B14" s="97">
        <f aca="true" t="shared" si="1" ref="B14:J14">SUM(B37,B53,B69,B85)</f>
        <v>44</v>
      </c>
      <c r="C14" s="85">
        <f t="shared" si="1"/>
        <v>221</v>
      </c>
      <c r="D14" s="85">
        <f t="shared" si="1"/>
        <v>265</v>
      </c>
      <c r="E14" s="97">
        <f t="shared" si="1"/>
        <v>216</v>
      </c>
      <c r="F14" s="85">
        <f t="shared" si="1"/>
        <v>615</v>
      </c>
      <c r="G14" s="85">
        <f t="shared" si="1"/>
        <v>831</v>
      </c>
      <c r="H14" s="97">
        <f t="shared" si="1"/>
        <v>260</v>
      </c>
      <c r="I14" s="85">
        <f t="shared" si="1"/>
        <v>836</v>
      </c>
      <c r="J14" s="85">
        <f t="shared" si="1"/>
        <v>1096</v>
      </c>
    </row>
    <row r="15" spans="1:10" ht="12" customHeight="1">
      <c r="A15" s="80" t="s">
        <v>22</v>
      </c>
      <c r="B15" s="97">
        <f aca="true" t="shared" si="2" ref="B15:J15">SUM(B38,B54,B70,B86)</f>
        <v>219</v>
      </c>
      <c r="C15" s="85">
        <f t="shared" si="2"/>
        <v>690</v>
      </c>
      <c r="D15" s="85">
        <f t="shared" si="2"/>
        <v>909</v>
      </c>
      <c r="E15" s="97">
        <f t="shared" si="2"/>
        <v>120</v>
      </c>
      <c r="F15" s="85">
        <f t="shared" si="2"/>
        <v>240</v>
      </c>
      <c r="G15" s="85">
        <f t="shared" si="2"/>
        <v>360</v>
      </c>
      <c r="H15" s="97">
        <f t="shared" si="2"/>
        <v>339</v>
      </c>
      <c r="I15" s="85">
        <f t="shared" si="2"/>
        <v>930</v>
      </c>
      <c r="J15" s="85">
        <f t="shared" si="2"/>
        <v>1269</v>
      </c>
    </row>
    <row r="16" spans="1:10" ht="12" customHeight="1">
      <c r="A16" s="80" t="s">
        <v>23</v>
      </c>
      <c r="B16" s="97">
        <f aca="true" t="shared" si="3" ref="B16:J16">SUM(B39,B55,B71,B87)</f>
        <v>295</v>
      </c>
      <c r="C16" s="85">
        <f t="shared" si="3"/>
        <v>723</v>
      </c>
      <c r="D16" s="85">
        <f t="shared" si="3"/>
        <v>1018</v>
      </c>
      <c r="E16" s="97">
        <f t="shared" si="3"/>
        <v>95</v>
      </c>
      <c r="F16" s="85">
        <f t="shared" si="3"/>
        <v>140</v>
      </c>
      <c r="G16" s="85">
        <f t="shared" si="3"/>
        <v>235</v>
      </c>
      <c r="H16" s="97">
        <f t="shared" si="3"/>
        <v>390</v>
      </c>
      <c r="I16" s="85">
        <f t="shared" si="3"/>
        <v>863</v>
      </c>
      <c r="J16" s="85">
        <f t="shared" si="3"/>
        <v>1253</v>
      </c>
    </row>
    <row r="17" spans="1:10" ht="12" customHeight="1">
      <c r="A17" s="80" t="s">
        <v>24</v>
      </c>
      <c r="B17" s="97">
        <f aca="true" t="shared" si="4" ref="B17:J17">SUM(B40,B56,B72,B88)</f>
        <v>292</v>
      </c>
      <c r="C17" s="85">
        <f t="shared" si="4"/>
        <v>497</v>
      </c>
      <c r="D17" s="85">
        <f t="shared" si="4"/>
        <v>789</v>
      </c>
      <c r="E17" s="97">
        <f t="shared" si="4"/>
        <v>74</v>
      </c>
      <c r="F17" s="85">
        <f t="shared" si="4"/>
        <v>89</v>
      </c>
      <c r="G17" s="85">
        <f t="shared" si="4"/>
        <v>163</v>
      </c>
      <c r="H17" s="97">
        <f t="shared" si="4"/>
        <v>366</v>
      </c>
      <c r="I17" s="85">
        <f t="shared" si="4"/>
        <v>586</v>
      </c>
      <c r="J17" s="85">
        <f t="shared" si="4"/>
        <v>952</v>
      </c>
    </row>
    <row r="18" spans="1:10" ht="12" customHeight="1">
      <c r="A18" s="80" t="s">
        <v>25</v>
      </c>
      <c r="B18" s="97">
        <f aca="true" t="shared" si="5" ref="B18:J18">SUM(B41,B57,B73,B89)</f>
        <v>308</v>
      </c>
      <c r="C18" s="85">
        <f t="shared" si="5"/>
        <v>419</v>
      </c>
      <c r="D18" s="85">
        <f t="shared" si="5"/>
        <v>727</v>
      </c>
      <c r="E18" s="97">
        <f t="shared" si="5"/>
        <v>70</v>
      </c>
      <c r="F18" s="85">
        <f t="shared" si="5"/>
        <v>83</v>
      </c>
      <c r="G18" s="85">
        <f t="shared" si="5"/>
        <v>153</v>
      </c>
      <c r="H18" s="97">
        <f t="shared" si="5"/>
        <v>378</v>
      </c>
      <c r="I18" s="85">
        <f t="shared" si="5"/>
        <v>502</v>
      </c>
      <c r="J18" s="85">
        <f t="shared" si="5"/>
        <v>880</v>
      </c>
    </row>
    <row r="19" spans="1:10" ht="12" customHeight="1">
      <c r="A19" s="80" t="s">
        <v>26</v>
      </c>
      <c r="B19" s="97">
        <f aca="true" t="shared" si="6" ref="B19:J19">SUM(B42,B58,B74,B90)</f>
        <v>257</v>
      </c>
      <c r="C19" s="85">
        <f t="shared" si="6"/>
        <v>455</v>
      </c>
      <c r="D19" s="85">
        <f t="shared" si="6"/>
        <v>712</v>
      </c>
      <c r="E19" s="97">
        <f t="shared" si="6"/>
        <v>51</v>
      </c>
      <c r="F19" s="85">
        <f t="shared" si="6"/>
        <v>55</v>
      </c>
      <c r="G19" s="85">
        <f t="shared" si="6"/>
        <v>106</v>
      </c>
      <c r="H19" s="97">
        <f t="shared" si="6"/>
        <v>308</v>
      </c>
      <c r="I19" s="85">
        <f t="shared" si="6"/>
        <v>510</v>
      </c>
      <c r="J19" s="85">
        <f t="shared" si="6"/>
        <v>818</v>
      </c>
    </row>
    <row r="20" spans="1:10" ht="12" customHeight="1">
      <c r="A20" s="80" t="s">
        <v>27</v>
      </c>
      <c r="B20" s="97">
        <f aca="true" t="shared" si="7" ref="B20:J20">SUM(B43,B59,B75,B91)</f>
        <v>324</v>
      </c>
      <c r="C20" s="85">
        <f t="shared" si="7"/>
        <v>508</v>
      </c>
      <c r="D20" s="85">
        <f t="shared" si="7"/>
        <v>832</v>
      </c>
      <c r="E20" s="97">
        <f t="shared" si="7"/>
        <v>22</v>
      </c>
      <c r="F20" s="85">
        <f t="shared" si="7"/>
        <v>16</v>
      </c>
      <c r="G20" s="85">
        <f t="shared" si="7"/>
        <v>38</v>
      </c>
      <c r="H20" s="97">
        <f t="shared" si="7"/>
        <v>346</v>
      </c>
      <c r="I20" s="85">
        <f t="shared" si="7"/>
        <v>524</v>
      </c>
      <c r="J20" s="85">
        <f t="shared" si="7"/>
        <v>870</v>
      </c>
    </row>
    <row r="21" spans="1:10" ht="12" customHeight="1">
      <c r="A21" s="80" t="s">
        <v>28</v>
      </c>
      <c r="B21" s="97">
        <f aca="true" t="shared" si="8" ref="B21:J21">SUM(B44,B60,B76,B92)</f>
        <v>131</v>
      </c>
      <c r="C21" s="85">
        <f t="shared" si="8"/>
        <v>180</v>
      </c>
      <c r="D21" s="98">
        <f t="shared" si="8"/>
        <v>311</v>
      </c>
      <c r="E21" s="97">
        <f t="shared" si="8"/>
        <v>14</v>
      </c>
      <c r="F21" s="85">
        <f t="shared" si="8"/>
        <v>9</v>
      </c>
      <c r="G21" s="98">
        <f t="shared" si="8"/>
        <v>23</v>
      </c>
      <c r="H21" s="97">
        <f t="shared" si="8"/>
        <v>145</v>
      </c>
      <c r="I21" s="85">
        <f t="shared" si="8"/>
        <v>189</v>
      </c>
      <c r="J21" s="98">
        <f t="shared" si="8"/>
        <v>334</v>
      </c>
    </row>
    <row r="22" spans="1:10" ht="12" customHeight="1">
      <c r="A22" s="99" t="s">
        <v>5</v>
      </c>
      <c r="B22" s="100">
        <f aca="true" t="shared" si="9" ref="B22:J22">SUM(B45,B61,B77,B93)</f>
        <v>1870</v>
      </c>
      <c r="C22" s="101">
        <f t="shared" si="9"/>
        <v>3693</v>
      </c>
      <c r="D22" s="101">
        <f t="shared" si="9"/>
        <v>5563</v>
      </c>
      <c r="E22" s="100">
        <f t="shared" si="9"/>
        <v>703</v>
      </c>
      <c r="F22" s="101">
        <f t="shared" si="9"/>
        <v>1392</v>
      </c>
      <c r="G22" s="101">
        <f t="shared" si="9"/>
        <v>2095</v>
      </c>
      <c r="H22" s="100">
        <f t="shared" si="9"/>
        <v>2573</v>
      </c>
      <c r="I22" s="101">
        <f t="shared" si="9"/>
        <v>5085</v>
      </c>
      <c r="J22" s="101">
        <f t="shared" si="9"/>
        <v>7658</v>
      </c>
    </row>
    <row r="24" spans="1:10" ht="12" customHeight="1">
      <c r="A24" s="1" t="s">
        <v>60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" customHeight="1">
      <c r="A25" s="82" t="s">
        <v>17</v>
      </c>
      <c r="B25" s="83"/>
      <c r="C25" s="83"/>
      <c r="D25" s="83"/>
      <c r="E25" s="84"/>
      <c r="F25" s="84"/>
      <c r="G25" s="83"/>
      <c r="H25" s="83"/>
      <c r="I25" s="83"/>
      <c r="J25" s="83"/>
    </row>
    <row r="26" spans="1:10" ht="12" customHeight="1">
      <c r="A26" s="83"/>
      <c r="B26" s="83"/>
      <c r="C26" s="83"/>
      <c r="D26" s="83"/>
      <c r="E26" s="84"/>
      <c r="F26" s="82"/>
      <c r="G26" s="83"/>
      <c r="H26" s="83"/>
      <c r="I26" s="83"/>
      <c r="J26" s="83"/>
    </row>
    <row r="27" spans="1:10" ht="12" customHeight="1">
      <c r="A27" s="82" t="s">
        <v>63</v>
      </c>
      <c r="B27" s="83"/>
      <c r="C27" s="83"/>
      <c r="D27" s="83"/>
      <c r="E27" s="84"/>
      <c r="F27" s="84"/>
      <c r="G27" s="83"/>
      <c r="H27" s="83"/>
      <c r="I27" s="83"/>
      <c r="J27" s="83"/>
    </row>
    <row r="28" spans="1:10" ht="12" customHeight="1">
      <c r="A28" s="81"/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12" customHeight="1">
      <c r="A29" s="82" t="s">
        <v>29</v>
      </c>
      <c r="B29" s="86"/>
      <c r="C29" s="86"/>
      <c r="D29" s="86"/>
      <c r="E29" s="86"/>
      <c r="F29" s="87"/>
      <c r="G29" s="86"/>
      <c r="H29" s="86"/>
      <c r="I29" s="86"/>
      <c r="J29" s="86"/>
    </row>
    <row r="30" spans="1:10" ht="12" customHeight="1">
      <c r="A30" s="82"/>
      <c r="B30" s="86"/>
      <c r="C30" s="86"/>
      <c r="D30" s="86"/>
      <c r="E30" s="86"/>
      <c r="F30" s="87"/>
      <c r="G30" s="86"/>
      <c r="H30" s="86"/>
      <c r="I30" s="86"/>
      <c r="J30" s="86"/>
    </row>
    <row r="31" spans="1:10" ht="12" customHeight="1">
      <c r="A31" s="82" t="s">
        <v>31</v>
      </c>
      <c r="B31" s="86"/>
      <c r="C31" s="86"/>
      <c r="D31" s="86"/>
      <c r="E31" s="86"/>
      <c r="F31" s="87"/>
      <c r="G31" s="86"/>
      <c r="H31" s="86"/>
      <c r="I31" s="86"/>
      <c r="J31" s="86"/>
    </row>
    <row r="32" spans="1:10" ht="12" customHeight="1" thickBot="1">
      <c r="A32" s="80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89"/>
      <c r="B33" s="90" t="s">
        <v>3</v>
      </c>
      <c r="C33" s="91"/>
      <c r="D33" s="91"/>
      <c r="E33" s="90" t="s">
        <v>4</v>
      </c>
      <c r="F33" s="91"/>
      <c r="G33" s="91"/>
      <c r="H33" s="90" t="s">
        <v>5</v>
      </c>
      <c r="I33" s="91"/>
      <c r="J33" s="91"/>
    </row>
    <row r="34" spans="1:10" ht="12" customHeight="1">
      <c r="A34" s="187" t="s">
        <v>19</v>
      </c>
      <c r="B34" s="92" t="s">
        <v>6</v>
      </c>
      <c r="C34" s="93" t="s">
        <v>7</v>
      </c>
      <c r="D34" s="93" t="s">
        <v>5</v>
      </c>
      <c r="E34" s="92" t="s">
        <v>6</v>
      </c>
      <c r="F34" s="93" t="s">
        <v>7</v>
      </c>
      <c r="G34" s="93" t="s">
        <v>5</v>
      </c>
      <c r="H34" s="92" t="s">
        <v>6</v>
      </c>
      <c r="I34" s="93" t="s">
        <v>7</v>
      </c>
      <c r="J34" s="93" t="s">
        <v>5</v>
      </c>
    </row>
    <row r="35" spans="1:10" ht="12" customHeight="1">
      <c r="A35" s="94"/>
      <c r="B35" s="95"/>
      <c r="C35" s="96"/>
      <c r="D35" s="96"/>
      <c r="E35" s="95"/>
      <c r="F35" s="96"/>
      <c r="G35" s="96"/>
      <c r="H35" s="95"/>
      <c r="I35" s="96"/>
      <c r="J35" s="96"/>
    </row>
    <row r="36" spans="1:10" ht="12" customHeight="1">
      <c r="A36" s="80" t="s">
        <v>20</v>
      </c>
      <c r="B36" s="97">
        <v>0</v>
      </c>
      <c r="C36" s="85">
        <v>0</v>
      </c>
      <c r="D36" s="85">
        <f>SUM(B36:C36)</f>
        <v>0</v>
      </c>
      <c r="E36" s="97">
        <v>9</v>
      </c>
      <c r="F36" s="85">
        <v>39</v>
      </c>
      <c r="G36" s="85">
        <f aca="true" t="shared" si="10" ref="G36:G44">SUM(E36:F36)</f>
        <v>48</v>
      </c>
      <c r="H36" s="97">
        <f>SUM(B36,E36)</f>
        <v>9</v>
      </c>
      <c r="I36" s="85">
        <f>SUM(C36,F36)</f>
        <v>39</v>
      </c>
      <c r="J36" s="85">
        <f aca="true" t="shared" si="11" ref="J36:J44">SUM(H36:I36)</f>
        <v>48</v>
      </c>
    </row>
    <row r="37" spans="1:10" ht="12" customHeight="1">
      <c r="A37" s="80" t="s">
        <v>21</v>
      </c>
      <c r="B37" s="97">
        <v>16</v>
      </c>
      <c r="C37" s="85">
        <v>65</v>
      </c>
      <c r="D37" s="85">
        <f aca="true" t="shared" si="12" ref="D37:D44">SUM(B37:C37)</f>
        <v>81</v>
      </c>
      <c r="E37" s="97">
        <v>69</v>
      </c>
      <c r="F37" s="85">
        <v>157</v>
      </c>
      <c r="G37" s="85">
        <f t="shared" si="10"/>
        <v>226</v>
      </c>
      <c r="H37" s="97">
        <f aca="true" t="shared" si="13" ref="H37:I44">SUM(B37,E37)</f>
        <v>85</v>
      </c>
      <c r="I37" s="85">
        <f t="shared" si="13"/>
        <v>222</v>
      </c>
      <c r="J37" s="85">
        <f t="shared" si="11"/>
        <v>307</v>
      </c>
    </row>
    <row r="38" spans="1:10" ht="12" customHeight="1">
      <c r="A38" s="80" t="s">
        <v>22</v>
      </c>
      <c r="B38" s="97">
        <v>58</v>
      </c>
      <c r="C38" s="85">
        <v>162</v>
      </c>
      <c r="D38" s="85">
        <f t="shared" si="12"/>
        <v>220</v>
      </c>
      <c r="E38" s="97">
        <v>26</v>
      </c>
      <c r="F38" s="85">
        <v>67</v>
      </c>
      <c r="G38" s="85">
        <f t="shared" si="10"/>
        <v>93</v>
      </c>
      <c r="H38" s="97">
        <f t="shared" si="13"/>
        <v>84</v>
      </c>
      <c r="I38" s="85">
        <f t="shared" si="13"/>
        <v>229</v>
      </c>
      <c r="J38" s="85">
        <f t="shared" si="11"/>
        <v>313</v>
      </c>
    </row>
    <row r="39" spans="1:10" ht="12" customHeight="1">
      <c r="A39" s="80" t="s">
        <v>23</v>
      </c>
      <c r="B39" s="95">
        <v>65</v>
      </c>
      <c r="C39" s="85">
        <v>167</v>
      </c>
      <c r="D39" s="85">
        <f t="shared" si="12"/>
        <v>232</v>
      </c>
      <c r="E39" s="97">
        <v>27</v>
      </c>
      <c r="F39" s="85">
        <v>38</v>
      </c>
      <c r="G39" s="85">
        <f t="shared" si="10"/>
        <v>65</v>
      </c>
      <c r="H39" s="97">
        <f t="shared" si="13"/>
        <v>92</v>
      </c>
      <c r="I39" s="85">
        <f t="shared" si="13"/>
        <v>205</v>
      </c>
      <c r="J39" s="85">
        <f t="shared" si="11"/>
        <v>297</v>
      </c>
    </row>
    <row r="40" spans="1:10" ht="12" customHeight="1">
      <c r="A40" s="80" t="s">
        <v>24</v>
      </c>
      <c r="B40" s="95">
        <v>65</v>
      </c>
      <c r="C40" s="85">
        <v>106</v>
      </c>
      <c r="D40" s="85">
        <f t="shared" si="12"/>
        <v>171</v>
      </c>
      <c r="E40" s="97">
        <v>23</v>
      </c>
      <c r="F40" s="85">
        <v>29</v>
      </c>
      <c r="G40" s="85">
        <f t="shared" si="10"/>
        <v>52</v>
      </c>
      <c r="H40" s="97">
        <f t="shared" si="13"/>
        <v>88</v>
      </c>
      <c r="I40" s="85">
        <f t="shared" si="13"/>
        <v>135</v>
      </c>
      <c r="J40" s="85">
        <f t="shared" si="11"/>
        <v>223</v>
      </c>
    </row>
    <row r="41" spans="1:10" ht="12" customHeight="1">
      <c r="A41" s="80" t="s">
        <v>25</v>
      </c>
      <c r="B41" s="95">
        <v>75</v>
      </c>
      <c r="C41" s="85">
        <v>89</v>
      </c>
      <c r="D41" s="85">
        <f t="shared" si="12"/>
        <v>164</v>
      </c>
      <c r="E41" s="97">
        <v>25</v>
      </c>
      <c r="F41" s="85">
        <v>23</v>
      </c>
      <c r="G41" s="85">
        <f t="shared" si="10"/>
        <v>48</v>
      </c>
      <c r="H41" s="97">
        <f t="shared" si="13"/>
        <v>100</v>
      </c>
      <c r="I41" s="85">
        <f t="shared" si="13"/>
        <v>112</v>
      </c>
      <c r="J41" s="85">
        <f t="shared" si="11"/>
        <v>212</v>
      </c>
    </row>
    <row r="42" spans="1:10" ht="12" customHeight="1">
      <c r="A42" s="80" t="s">
        <v>26</v>
      </c>
      <c r="B42" s="95">
        <v>63</v>
      </c>
      <c r="C42" s="85">
        <v>102</v>
      </c>
      <c r="D42" s="85">
        <f t="shared" si="12"/>
        <v>165</v>
      </c>
      <c r="E42" s="97">
        <v>13</v>
      </c>
      <c r="F42" s="85">
        <v>25</v>
      </c>
      <c r="G42" s="85">
        <f t="shared" si="10"/>
        <v>38</v>
      </c>
      <c r="H42" s="97">
        <f t="shared" si="13"/>
        <v>76</v>
      </c>
      <c r="I42" s="85">
        <f t="shared" si="13"/>
        <v>127</v>
      </c>
      <c r="J42" s="85">
        <f t="shared" si="11"/>
        <v>203</v>
      </c>
    </row>
    <row r="43" spans="1:10" ht="12" customHeight="1">
      <c r="A43" s="80" t="s">
        <v>27</v>
      </c>
      <c r="B43" s="95">
        <v>71</v>
      </c>
      <c r="C43" s="85">
        <v>154</v>
      </c>
      <c r="D43" s="85">
        <f t="shared" si="12"/>
        <v>225</v>
      </c>
      <c r="E43" s="97">
        <v>10</v>
      </c>
      <c r="F43" s="85">
        <v>6</v>
      </c>
      <c r="G43" s="85">
        <f t="shared" si="10"/>
        <v>16</v>
      </c>
      <c r="H43" s="97">
        <f t="shared" si="13"/>
        <v>81</v>
      </c>
      <c r="I43" s="85">
        <f t="shared" si="13"/>
        <v>160</v>
      </c>
      <c r="J43" s="85">
        <f t="shared" si="11"/>
        <v>241</v>
      </c>
    </row>
    <row r="44" spans="1:10" ht="12" customHeight="1">
      <c r="A44" s="80" t="s">
        <v>28</v>
      </c>
      <c r="B44" s="95">
        <v>37</v>
      </c>
      <c r="C44" s="85">
        <v>50</v>
      </c>
      <c r="D44" s="98">
        <f t="shared" si="12"/>
        <v>87</v>
      </c>
      <c r="E44" s="97">
        <v>5</v>
      </c>
      <c r="F44" s="85">
        <v>2</v>
      </c>
      <c r="G44" s="98">
        <f t="shared" si="10"/>
        <v>7</v>
      </c>
      <c r="H44" s="97">
        <f t="shared" si="13"/>
        <v>42</v>
      </c>
      <c r="I44" s="85">
        <f t="shared" si="13"/>
        <v>52</v>
      </c>
      <c r="J44" s="98">
        <f t="shared" si="11"/>
        <v>94</v>
      </c>
    </row>
    <row r="45" spans="1:10" ht="12" customHeight="1">
      <c r="A45" s="99" t="s">
        <v>5</v>
      </c>
      <c r="B45" s="100">
        <f aca="true" t="shared" si="14" ref="B45:J45">SUM(B36:B44)</f>
        <v>450</v>
      </c>
      <c r="C45" s="101">
        <f t="shared" si="14"/>
        <v>895</v>
      </c>
      <c r="D45" s="101">
        <f t="shared" si="14"/>
        <v>1345</v>
      </c>
      <c r="E45" s="100">
        <f t="shared" si="14"/>
        <v>207</v>
      </c>
      <c r="F45" s="101">
        <f t="shared" si="14"/>
        <v>386</v>
      </c>
      <c r="G45" s="101">
        <f t="shared" si="14"/>
        <v>593</v>
      </c>
      <c r="H45" s="100">
        <f t="shared" si="14"/>
        <v>657</v>
      </c>
      <c r="I45" s="101">
        <f t="shared" si="14"/>
        <v>1281</v>
      </c>
      <c r="J45" s="101">
        <f t="shared" si="14"/>
        <v>1938</v>
      </c>
    </row>
    <row r="47" spans="1:10" ht="12" customHeight="1">
      <c r="A47" s="82" t="s">
        <v>9</v>
      </c>
      <c r="B47" s="86"/>
      <c r="C47" s="86"/>
      <c r="D47" s="86"/>
      <c r="E47" s="86"/>
      <c r="F47" s="87"/>
      <c r="G47" s="86"/>
      <c r="H47" s="86"/>
      <c r="I47" s="86"/>
      <c r="J47" s="86"/>
    </row>
    <row r="48" spans="1:10" ht="12" customHeight="1" thickBot="1">
      <c r="A48" s="80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89"/>
      <c r="B49" s="90" t="s">
        <v>3</v>
      </c>
      <c r="C49" s="91"/>
      <c r="D49" s="91"/>
      <c r="E49" s="90" t="s">
        <v>4</v>
      </c>
      <c r="F49" s="91"/>
      <c r="G49" s="91"/>
      <c r="H49" s="90" t="s">
        <v>5</v>
      </c>
      <c r="I49" s="91"/>
      <c r="J49" s="91"/>
    </row>
    <row r="50" spans="1:10" ht="12" customHeight="1">
      <c r="A50" s="187" t="s">
        <v>19</v>
      </c>
      <c r="B50" s="92" t="s">
        <v>6</v>
      </c>
      <c r="C50" s="93" t="s">
        <v>7</v>
      </c>
      <c r="D50" s="93" t="s">
        <v>5</v>
      </c>
      <c r="E50" s="92" t="s">
        <v>6</v>
      </c>
      <c r="F50" s="93" t="s">
        <v>7</v>
      </c>
      <c r="G50" s="93" t="s">
        <v>5</v>
      </c>
      <c r="H50" s="92" t="s">
        <v>6</v>
      </c>
      <c r="I50" s="93" t="s">
        <v>7</v>
      </c>
      <c r="J50" s="93" t="s">
        <v>5</v>
      </c>
    </row>
    <row r="51" spans="1:10" ht="12" customHeight="1">
      <c r="A51" s="94"/>
      <c r="B51" s="95"/>
      <c r="C51" s="96"/>
      <c r="D51" s="96"/>
      <c r="E51" s="95"/>
      <c r="F51" s="96"/>
      <c r="G51" s="96"/>
      <c r="H51" s="95"/>
      <c r="I51" s="96"/>
      <c r="J51" s="96"/>
    </row>
    <row r="52" spans="1:10" ht="12" customHeight="1">
      <c r="A52" s="80" t="s">
        <v>20</v>
      </c>
      <c r="B52" s="97">
        <v>0</v>
      </c>
      <c r="C52" s="85">
        <v>0</v>
      </c>
      <c r="D52" s="85">
        <f>SUM(B52:C52)</f>
        <v>0</v>
      </c>
      <c r="E52" s="97">
        <v>26</v>
      </c>
      <c r="F52" s="85">
        <v>93</v>
      </c>
      <c r="G52" s="85">
        <f aca="true" t="shared" si="15" ref="G52:G60">SUM(E52:F52)</f>
        <v>119</v>
      </c>
      <c r="H52" s="97">
        <f>SUM(B52,E52)</f>
        <v>26</v>
      </c>
      <c r="I52" s="85">
        <f>SUM(C52,F52)</f>
        <v>93</v>
      </c>
      <c r="J52" s="85">
        <f aca="true" t="shared" si="16" ref="J52:J60">SUM(H52:I52)</f>
        <v>119</v>
      </c>
    </row>
    <row r="53" spans="1:10" ht="12" customHeight="1">
      <c r="A53" s="80" t="s">
        <v>21</v>
      </c>
      <c r="B53" s="97">
        <v>19</v>
      </c>
      <c r="C53" s="85">
        <v>135</v>
      </c>
      <c r="D53" s="85">
        <f>SUM(B53:C53)</f>
        <v>154</v>
      </c>
      <c r="E53" s="97">
        <v>128</v>
      </c>
      <c r="F53" s="85">
        <v>393</v>
      </c>
      <c r="G53" s="85">
        <f t="shared" si="15"/>
        <v>521</v>
      </c>
      <c r="H53" s="97">
        <f aca="true" t="shared" si="17" ref="H53:I60">SUM(B53,E53)</f>
        <v>147</v>
      </c>
      <c r="I53" s="85">
        <f t="shared" si="17"/>
        <v>528</v>
      </c>
      <c r="J53" s="85">
        <f t="shared" si="16"/>
        <v>675</v>
      </c>
    </row>
    <row r="54" spans="1:10" ht="12" customHeight="1">
      <c r="A54" s="80" t="s">
        <v>22</v>
      </c>
      <c r="B54" s="97">
        <v>127</v>
      </c>
      <c r="C54" s="85">
        <v>443</v>
      </c>
      <c r="D54" s="85">
        <f aca="true" t="shared" si="18" ref="D54:D60">SUM(B54:C54)</f>
        <v>570</v>
      </c>
      <c r="E54" s="97">
        <v>77</v>
      </c>
      <c r="F54" s="85">
        <v>140</v>
      </c>
      <c r="G54" s="85">
        <f t="shared" si="15"/>
        <v>217</v>
      </c>
      <c r="H54" s="97">
        <f t="shared" si="17"/>
        <v>204</v>
      </c>
      <c r="I54" s="85">
        <f t="shared" si="17"/>
        <v>583</v>
      </c>
      <c r="J54" s="85">
        <f t="shared" si="16"/>
        <v>787</v>
      </c>
    </row>
    <row r="55" spans="1:10" ht="12" customHeight="1">
      <c r="A55" s="80" t="s">
        <v>23</v>
      </c>
      <c r="B55" s="95">
        <v>203</v>
      </c>
      <c r="C55" s="85">
        <v>461</v>
      </c>
      <c r="D55" s="85">
        <f t="shared" si="18"/>
        <v>664</v>
      </c>
      <c r="E55" s="97">
        <v>52</v>
      </c>
      <c r="F55" s="85">
        <v>84</v>
      </c>
      <c r="G55" s="85">
        <f t="shared" si="15"/>
        <v>136</v>
      </c>
      <c r="H55" s="97">
        <f t="shared" si="17"/>
        <v>255</v>
      </c>
      <c r="I55" s="85">
        <f t="shared" si="17"/>
        <v>545</v>
      </c>
      <c r="J55" s="85">
        <f t="shared" si="16"/>
        <v>800</v>
      </c>
    </row>
    <row r="56" spans="1:10" ht="12" customHeight="1">
      <c r="A56" s="80" t="s">
        <v>24</v>
      </c>
      <c r="B56" s="95">
        <v>184</v>
      </c>
      <c r="C56" s="85">
        <v>321</v>
      </c>
      <c r="D56" s="85">
        <f t="shared" si="18"/>
        <v>505</v>
      </c>
      <c r="E56" s="97">
        <v>41</v>
      </c>
      <c r="F56" s="85">
        <v>48</v>
      </c>
      <c r="G56" s="85">
        <f t="shared" si="15"/>
        <v>89</v>
      </c>
      <c r="H56" s="97">
        <f t="shared" si="17"/>
        <v>225</v>
      </c>
      <c r="I56" s="85">
        <f t="shared" si="17"/>
        <v>369</v>
      </c>
      <c r="J56" s="85">
        <f t="shared" si="16"/>
        <v>594</v>
      </c>
    </row>
    <row r="57" spans="1:10" ht="12" customHeight="1">
      <c r="A57" s="80" t="s">
        <v>25</v>
      </c>
      <c r="B57" s="95">
        <v>189</v>
      </c>
      <c r="C57" s="85">
        <v>298</v>
      </c>
      <c r="D57" s="85">
        <f t="shared" si="18"/>
        <v>487</v>
      </c>
      <c r="E57" s="97">
        <v>32</v>
      </c>
      <c r="F57" s="85">
        <v>52</v>
      </c>
      <c r="G57" s="85">
        <f t="shared" si="15"/>
        <v>84</v>
      </c>
      <c r="H57" s="97">
        <f t="shared" si="17"/>
        <v>221</v>
      </c>
      <c r="I57" s="85">
        <f t="shared" si="17"/>
        <v>350</v>
      </c>
      <c r="J57" s="85">
        <f t="shared" si="16"/>
        <v>571</v>
      </c>
    </row>
    <row r="58" spans="1:10" ht="12" customHeight="1">
      <c r="A58" s="80" t="s">
        <v>26</v>
      </c>
      <c r="B58" s="95">
        <v>157</v>
      </c>
      <c r="C58" s="85">
        <v>297</v>
      </c>
      <c r="D58" s="85">
        <f t="shared" si="18"/>
        <v>454</v>
      </c>
      <c r="E58" s="97">
        <v>27</v>
      </c>
      <c r="F58" s="85">
        <v>26</v>
      </c>
      <c r="G58" s="85">
        <f t="shared" si="15"/>
        <v>53</v>
      </c>
      <c r="H58" s="97">
        <f t="shared" si="17"/>
        <v>184</v>
      </c>
      <c r="I58" s="85">
        <f t="shared" si="17"/>
        <v>323</v>
      </c>
      <c r="J58" s="85">
        <f t="shared" si="16"/>
        <v>507</v>
      </c>
    </row>
    <row r="59" spans="1:10" ht="12" customHeight="1">
      <c r="A59" s="80" t="s">
        <v>27</v>
      </c>
      <c r="B59" s="95">
        <v>198</v>
      </c>
      <c r="C59" s="85">
        <v>280</v>
      </c>
      <c r="D59" s="85">
        <f t="shared" si="18"/>
        <v>478</v>
      </c>
      <c r="E59" s="97">
        <v>7</v>
      </c>
      <c r="F59" s="85">
        <v>7</v>
      </c>
      <c r="G59" s="85">
        <f t="shared" si="15"/>
        <v>14</v>
      </c>
      <c r="H59" s="97">
        <f t="shared" si="17"/>
        <v>205</v>
      </c>
      <c r="I59" s="85">
        <f t="shared" si="17"/>
        <v>287</v>
      </c>
      <c r="J59" s="85">
        <f t="shared" si="16"/>
        <v>492</v>
      </c>
    </row>
    <row r="60" spans="1:10" ht="12" customHeight="1">
      <c r="A60" s="80" t="s">
        <v>28</v>
      </c>
      <c r="B60" s="95">
        <v>72</v>
      </c>
      <c r="C60" s="85">
        <v>111</v>
      </c>
      <c r="D60" s="98">
        <f t="shared" si="18"/>
        <v>183</v>
      </c>
      <c r="E60" s="97">
        <v>7</v>
      </c>
      <c r="F60" s="85">
        <v>5</v>
      </c>
      <c r="G60" s="98">
        <f t="shared" si="15"/>
        <v>12</v>
      </c>
      <c r="H60" s="97">
        <f t="shared" si="17"/>
        <v>79</v>
      </c>
      <c r="I60" s="85">
        <f t="shared" si="17"/>
        <v>116</v>
      </c>
      <c r="J60" s="98">
        <f t="shared" si="16"/>
        <v>195</v>
      </c>
    </row>
    <row r="61" spans="1:10" ht="12" customHeight="1">
      <c r="A61" s="99" t="s">
        <v>5</v>
      </c>
      <c r="B61" s="100">
        <f aca="true" t="shared" si="19" ref="B61:J61">SUM(B52:B60)</f>
        <v>1149</v>
      </c>
      <c r="C61" s="101">
        <f t="shared" si="19"/>
        <v>2346</v>
      </c>
      <c r="D61" s="101">
        <f t="shared" si="19"/>
        <v>3495</v>
      </c>
      <c r="E61" s="100">
        <f t="shared" si="19"/>
        <v>397</v>
      </c>
      <c r="F61" s="101">
        <f t="shared" si="19"/>
        <v>848</v>
      </c>
      <c r="G61" s="101">
        <f t="shared" si="19"/>
        <v>1245</v>
      </c>
      <c r="H61" s="100">
        <f t="shared" si="19"/>
        <v>1546</v>
      </c>
      <c r="I61" s="101">
        <f t="shared" si="19"/>
        <v>3194</v>
      </c>
      <c r="J61" s="101">
        <f t="shared" si="19"/>
        <v>4740</v>
      </c>
    </row>
    <row r="63" spans="1:10" ht="12" customHeight="1">
      <c r="A63" s="82" t="s">
        <v>10</v>
      </c>
      <c r="B63" s="86"/>
      <c r="C63" s="86"/>
      <c r="D63" s="86"/>
      <c r="E63" s="86"/>
      <c r="F63" s="87"/>
      <c r="G63" s="86"/>
      <c r="H63" s="86"/>
      <c r="I63" s="86"/>
      <c r="J63" s="86"/>
    </row>
    <row r="64" spans="1:10" ht="12" customHeight="1" thickBot="1">
      <c r="A64" s="80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188"/>
      <c r="B65" s="90" t="s">
        <v>3</v>
      </c>
      <c r="C65" s="91"/>
      <c r="D65" s="91"/>
      <c r="E65" s="90" t="s">
        <v>4</v>
      </c>
      <c r="F65" s="91"/>
      <c r="G65" s="91"/>
      <c r="H65" s="90" t="s">
        <v>5</v>
      </c>
      <c r="I65" s="91"/>
      <c r="J65" s="91"/>
    </row>
    <row r="66" spans="1:10" ht="12" customHeight="1">
      <c r="A66" s="187" t="s">
        <v>19</v>
      </c>
      <c r="B66" s="92" t="s">
        <v>6</v>
      </c>
      <c r="C66" s="93" t="s">
        <v>7</v>
      </c>
      <c r="D66" s="93" t="s">
        <v>5</v>
      </c>
      <c r="E66" s="92" t="s">
        <v>6</v>
      </c>
      <c r="F66" s="93" t="s">
        <v>7</v>
      </c>
      <c r="G66" s="93" t="s">
        <v>5</v>
      </c>
      <c r="H66" s="92" t="s">
        <v>6</v>
      </c>
      <c r="I66" s="93" t="s">
        <v>7</v>
      </c>
      <c r="J66" s="93" t="s">
        <v>5</v>
      </c>
    </row>
    <row r="67" spans="1:10" ht="12" customHeight="1">
      <c r="A67" s="94"/>
      <c r="B67" s="95"/>
      <c r="C67" s="96"/>
      <c r="D67" s="96"/>
      <c r="E67" s="95"/>
      <c r="F67" s="96"/>
      <c r="G67" s="96"/>
      <c r="H67" s="95"/>
      <c r="I67" s="96"/>
      <c r="J67" s="96"/>
    </row>
    <row r="68" spans="1:10" ht="12" customHeight="1">
      <c r="A68" s="80" t="s">
        <v>20</v>
      </c>
      <c r="B68" s="97">
        <v>0</v>
      </c>
      <c r="C68" s="85">
        <v>0</v>
      </c>
      <c r="D68" s="85">
        <f>SUM(B68:C68)</f>
        <v>0</v>
      </c>
      <c r="E68" s="97">
        <v>1</v>
      </c>
      <c r="F68" s="85">
        <v>2</v>
      </c>
      <c r="G68" s="85">
        <f aca="true" t="shared" si="20" ref="G68:G76">SUM(E68:F68)</f>
        <v>3</v>
      </c>
      <c r="H68" s="97">
        <f>SUM(B68,E68)</f>
        <v>1</v>
      </c>
      <c r="I68" s="85">
        <f>SUM(C68,F68)</f>
        <v>2</v>
      </c>
      <c r="J68" s="85">
        <f aca="true" t="shared" si="21" ref="J68:J76">SUM(H68:I68)</f>
        <v>3</v>
      </c>
    </row>
    <row r="69" spans="1:10" ht="12" customHeight="1">
      <c r="A69" s="80" t="s">
        <v>21</v>
      </c>
      <c r="B69" s="97">
        <v>1</v>
      </c>
      <c r="C69" s="85">
        <v>0</v>
      </c>
      <c r="D69" s="85">
        <f aca="true" t="shared" si="22" ref="D69:D76">SUM(B69:C69)</f>
        <v>1</v>
      </c>
      <c r="E69" s="97">
        <v>3</v>
      </c>
      <c r="F69" s="85">
        <v>5</v>
      </c>
      <c r="G69" s="85">
        <f t="shared" si="20"/>
        <v>8</v>
      </c>
      <c r="H69" s="97">
        <f aca="true" t="shared" si="23" ref="H69:I76">SUM(B69,E69)</f>
        <v>4</v>
      </c>
      <c r="I69" s="85">
        <f t="shared" si="23"/>
        <v>5</v>
      </c>
      <c r="J69" s="85">
        <f t="shared" si="21"/>
        <v>9</v>
      </c>
    </row>
    <row r="70" spans="1:10" ht="12" customHeight="1">
      <c r="A70" s="80" t="s">
        <v>22</v>
      </c>
      <c r="B70" s="97">
        <v>1</v>
      </c>
      <c r="C70" s="85">
        <v>15</v>
      </c>
      <c r="D70" s="85">
        <f t="shared" si="22"/>
        <v>16</v>
      </c>
      <c r="E70" s="97">
        <v>3</v>
      </c>
      <c r="F70" s="85">
        <v>3</v>
      </c>
      <c r="G70" s="85">
        <f t="shared" si="20"/>
        <v>6</v>
      </c>
      <c r="H70" s="97">
        <f t="shared" si="23"/>
        <v>4</v>
      </c>
      <c r="I70" s="85">
        <f t="shared" si="23"/>
        <v>18</v>
      </c>
      <c r="J70" s="85">
        <f t="shared" si="21"/>
        <v>22</v>
      </c>
    </row>
    <row r="71" spans="1:10" ht="12" customHeight="1">
      <c r="A71" s="80" t="s">
        <v>23</v>
      </c>
      <c r="B71" s="95">
        <v>3</v>
      </c>
      <c r="C71" s="85">
        <v>14</v>
      </c>
      <c r="D71" s="85">
        <f t="shared" si="22"/>
        <v>17</v>
      </c>
      <c r="E71" s="97">
        <v>4</v>
      </c>
      <c r="F71" s="85">
        <v>1</v>
      </c>
      <c r="G71" s="85">
        <f t="shared" si="20"/>
        <v>5</v>
      </c>
      <c r="H71" s="97">
        <f t="shared" si="23"/>
        <v>7</v>
      </c>
      <c r="I71" s="85">
        <f t="shared" si="23"/>
        <v>15</v>
      </c>
      <c r="J71" s="85">
        <f t="shared" si="21"/>
        <v>22</v>
      </c>
    </row>
    <row r="72" spans="1:10" ht="12" customHeight="1">
      <c r="A72" s="80" t="s">
        <v>24</v>
      </c>
      <c r="B72" s="95">
        <v>8</v>
      </c>
      <c r="C72" s="85">
        <v>6</v>
      </c>
      <c r="D72" s="85">
        <f t="shared" si="22"/>
        <v>14</v>
      </c>
      <c r="E72" s="97">
        <v>3</v>
      </c>
      <c r="F72" s="85">
        <v>1</v>
      </c>
      <c r="G72" s="85">
        <f t="shared" si="20"/>
        <v>4</v>
      </c>
      <c r="H72" s="97">
        <f t="shared" si="23"/>
        <v>11</v>
      </c>
      <c r="I72" s="85">
        <f t="shared" si="23"/>
        <v>7</v>
      </c>
      <c r="J72" s="85">
        <f t="shared" si="21"/>
        <v>18</v>
      </c>
    </row>
    <row r="73" spans="1:10" ht="12" customHeight="1">
      <c r="A73" s="80" t="s">
        <v>25</v>
      </c>
      <c r="B73" s="95">
        <v>8</v>
      </c>
      <c r="C73" s="85">
        <v>3</v>
      </c>
      <c r="D73" s="85">
        <f t="shared" si="22"/>
        <v>11</v>
      </c>
      <c r="E73" s="97">
        <v>1</v>
      </c>
      <c r="F73" s="85">
        <v>2</v>
      </c>
      <c r="G73" s="85">
        <f t="shared" si="20"/>
        <v>3</v>
      </c>
      <c r="H73" s="97">
        <f t="shared" si="23"/>
        <v>9</v>
      </c>
      <c r="I73" s="85">
        <f t="shared" si="23"/>
        <v>5</v>
      </c>
      <c r="J73" s="85">
        <f t="shared" si="21"/>
        <v>14</v>
      </c>
    </row>
    <row r="74" spans="1:10" ht="12" customHeight="1">
      <c r="A74" s="80" t="s">
        <v>26</v>
      </c>
      <c r="B74" s="95">
        <v>5</v>
      </c>
      <c r="C74" s="85">
        <v>7</v>
      </c>
      <c r="D74" s="85">
        <f t="shared" si="22"/>
        <v>12</v>
      </c>
      <c r="E74" s="97">
        <v>1</v>
      </c>
      <c r="F74" s="85">
        <v>0</v>
      </c>
      <c r="G74" s="85">
        <f t="shared" si="20"/>
        <v>1</v>
      </c>
      <c r="H74" s="97">
        <f t="shared" si="23"/>
        <v>6</v>
      </c>
      <c r="I74" s="85">
        <f t="shared" si="23"/>
        <v>7</v>
      </c>
      <c r="J74" s="85">
        <f t="shared" si="21"/>
        <v>13</v>
      </c>
    </row>
    <row r="75" spans="1:10" ht="12" customHeight="1">
      <c r="A75" s="80" t="s">
        <v>27</v>
      </c>
      <c r="B75" s="95">
        <v>10</v>
      </c>
      <c r="C75" s="85">
        <v>8</v>
      </c>
      <c r="D75" s="85">
        <f t="shared" si="22"/>
        <v>18</v>
      </c>
      <c r="E75" s="97">
        <v>2</v>
      </c>
      <c r="F75" s="85">
        <v>0</v>
      </c>
      <c r="G75" s="85">
        <f t="shared" si="20"/>
        <v>2</v>
      </c>
      <c r="H75" s="97">
        <f t="shared" si="23"/>
        <v>12</v>
      </c>
      <c r="I75" s="85">
        <f t="shared" si="23"/>
        <v>8</v>
      </c>
      <c r="J75" s="85">
        <f t="shared" si="21"/>
        <v>20</v>
      </c>
    </row>
    <row r="76" spans="1:10" ht="12" customHeight="1">
      <c r="A76" s="80" t="s">
        <v>28</v>
      </c>
      <c r="B76" s="95">
        <v>5</v>
      </c>
      <c r="C76" s="85">
        <v>1</v>
      </c>
      <c r="D76" s="98">
        <f t="shared" si="22"/>
        <v>6</v>
      </c>
      <c r="E76" s="97">
        <v>1</v>
      </c>
      <c r="F76" s="85">
        <v>0</v>
      </c>
      <c r="G76" s="98">
        <f t="shared" si="20"/>
        <v>1</v>
      </c>
      <c r="H76" s="97">
        <f t="shared" si="23"/>
        <v>6</v>
      </c>
      <c r="I76" s="85">
        <f t="shared" si="23"/>
        <v>1</v>
      </c>
      <c r="J76" s="98">
        <f t="shared" si="21"/>
        <v>7</v>
      </c>
    </row>
    <row r="77" spans="1:10" ht="12" customHeight="1">
      <c r="A77" s="99" t="s">
        <v>5</v>
      </c>
      <c r="B77" s="100">
        <f aca="true" t="shared" si="24" ref="B77:J77">SUM(B68:B76)</f>
        <v>41</v>
      </c>
      <c r="C77" s="101">
        <f t="shared" si="24"/>
        <v>54</v>
      </c>
      <c r="D77" s="101">
        <f t="shared" si="24"/>
        <v>95</v>
      </c>
      <c r="E77" s="100">
        <f t="shared" si="24"/>
        <v>19</v>
      </c>
      <c r="F77" s="101">
        <f t="shared" si="24"/>
        <v>14</v>
      </c>
      <c r="G77" s="101">
        <f t="shared" si="24"/>
        <v>33</v>
      </c>
      <c r="H77" s="100">
        <f t="shared" si="24"/>
        <v>60</v>
      </c>
      <c r="I77" s="101">
        <f t="shared" si="24"/>
        <v>68</v>
      </c>
      <c r="J77" s="101">
        <f t="shared" si="24"/>
        <v>128</v>
      </c>
    </row>
    <row r="79" spans="1:10" ht="12" customHeight="1">
      <c r="A79" s="82" t="s">
        <v>11</v>
      </c>
      <c r="B79" s="86"/>
      <c r="C79" s="86"/>
      <c r="D79" s="86"/>
      <c r="E79" s="86"/>
      <c r="F79" s="87"/>
      <c r="G79" s="86"/>
      <c r="H79" s="86"/>
      <c r="I79" s="86"/>
      <c r="J79" s="86"/>
    </row>
    <row r="80" spans="1:10" ht="12" customHeight="1" thickBot="1">
      <c r="A80" s="80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89"/>
      <c r="B81" s="90" t="s">
        <v>3</v>
      </c>
      <c r="C81" s="91"/>
      <c r="D81" s="91"/>
      <c r="E81" s="90" t="s">
        <v>4</v>
      </c>
      <c r="F81" s="91"/>
      <c r="G81" s="91"/>
      <c r="H81" s="90" t="s">
        <v>5</v>
      </c>
      <c r="I81" s="91"/>
      <c r="J81" s="91"/>
    </row>
    <row r="82" spans="1:10" ht="12" customHeight="1">
      <c r="A82" s="187" t="s">
        <v>19</v>
      </c>
      <c r="B82" s="92" t="s">
        <v>6</v>
      </c>
      <c r="C82" s="93" t="s">
        <v>7</v>
      </c>
      <c r="D82" s="93" t="s">
        <v>5</v>
      </c>
      <c r="E82" s="92" t="s">
        <v>6</v>
      </c>
      <c r="F82" s="93" t="s">
        <v>7</v>
      </c>
      <c r="G82" s="93" t="s">
        <v>5</v>
      </c>
      <c r="H82" s="92" t="s">
        <v>6</v>
      </c>
      <c r="I82" s="93" t="s">
        <v>7</v>
      </c>
      <c r="J82" s="93" t="s">
        <v>5</v>
      </c>
    </row>
    <row r="83" spans="1:10" ht="12" customHeight="1">
      <c r="A83" s="94"/>
      <c r="B83" s="95"/>
      <c r="C83" s="96"/>
      <c r="D83" s="96"/>
      <c r="E83" s="95"/>
      <c r="F83" s="96"/>
      <c r="G83" s="96"/>
      <c r="H83" s="95"/>
      <c r="I83" s="96"/>
      <c r="J83" s="96"/>
    </row>
    <row r="84" spans="1:10" ht="12" customHeight="1">
      <c r="A84" s="80" t="s">
        <v>20</v>
      </c>
      <c r="B84" s="97">
        <v>0</v>
      </c>
      <c r="C84" s="85">
        <v>0</v>
      </c>
      <c r="D84" s="85">
        <f>SUM(B84:C84)</f>
        <v>0</v>
      </c>
      <c r="E84" s="97">
        <v>5</v>
      </c>
      <c r="F84" s="85">
        <v>11</v>
      </c>
      <c r="G84" s="85">
        <f aca="true" t="shared" si="25" ref="G84:G92">SUM(E84:F84)</f>
        <v>16</v>
      </c>
      <c r="H84" s="97">
        <f>SUM(B84,E84)</f>
        <v>5</v>
      </c>
      <c r="I84" s="85">
        <f>SUM(C84,F84)</f>
        <v>11</v>
      </c>
      <c r="J84" s="85">
        <f aca="true" t="shared" si="26" ref="J84:J92">SUM(H84:I84)</f>
        <v>16</v>
      </c>
    </row>
    <row r="85" spans="1:10" ht="12" customHeight="1">
      <c r="A85" s="80" t="s">
        <v>21</v>
      </c>
      <c r="B85" s="97">
        <v>8</v>
      </c>
      <c r="C85" s="85">
        <v>21</v>
      </c>
      <c r="D85" s="85">
        <f aca="true" t="shared" si="27" ref="D85:D92">SUM(B85:C85)</f>
        <v>29</v>
      </c>
      <c r="E85" s="97">
        <v>16</v>
      </c>
      <c r="F85" s="85">
        <v>60</v>
      </c>
      <c r="G85" s="85">
        <f t="shared" si="25"/>
        <v>76</v>
      </c>
      <c r="H85" s="97">
        <f aca="true" t="shared" si="28" ref="H85:I92">SUM(B85,E85)</f>
        <v>24</v>
      </c>
      <c r="I85" s="85">
        <f t="shared" si="28"/>
        <v>81</v>
      </c>
      <c r="J85" s="85">
        <f t="shared" si="26"/>
        <v>105</v>
      </c>
    </row>
    <row r="86" spans="1:10" ht="12" customHeight="1">
      <c r="A86" s="80" t="s">
        <v>22</v>
      </c>
      <c r="B86" s="97">
        <v>33</v>
      </c>
      <c r="C86" s="85">
        <v>70</v>
      </c>
      <c r="D86" s="85">
        <f t="shared" si="27"/>
        <v>103</v>
      </c>
      <c r="E86" s="97">
        <v>14</v>
      </c>
      <c r="F86" s="85">
        <v>30</v>
      </c>
      <c r="G86" s="85">
        <f t="shared" si="25"/>
        <v>44</v>
      </c>
      <c r="H86" s="97">
        <f t="shared" si="28"/>
        <v>47</v>
      </c>
      <c r="I86" s="85">
        <f t="shared" si="28"/>
        <v>100</v>
      </c>
      <c r="J86" s="85">
        <f t="shared" si="26"/>
        <v>147</v>
      </c>
    </row>
    <row r="87" spans="1:10" ht="12" customHeight="1">
      <c r="A87" s="80" t="s">
        <v>23</v>
      </c>
      <c r="B87" s="95">
        <v>24</v>
      </c>
      <c r="C87" s="85">
        <v>81</v>
      </c>
      <c r="D87" s="85">
        <f t="shared" si="27"/>
        <v>105</v>
      </c>
      <c r="E87" s="97">
        <v>12</v>
      </c>
      <c r="F87" s="85">
        <v>17</v>
      </c>
      <c r="G87" s="85">
        <f t="shared" si="25"/>
        <v>29</v>
      </c>
      <c r="H87" s="97">
        <f t="shared" si="28"/>
        <v>36</v>
      </c>
      <c r="I87" s="85">
        <f t="shared" si="28"/>
        <v>98</v>
      </c>
      <c r="J87" s="85">
        <f t="shared" si="26"/>
        <v>134</v>
      </c>
    </row>
    <row r="88" spans="1:10" ht="12" customHeight="1">
      <c r="A88" s="80" t="s">
        <v>24</v>
      </c>
      <c r="B88" s="95">
        <v>35</v>
      </c>
      <c r="C88" s="85">
        <v>64</v>
      </c>
      <c r="D88" s="85">
        <f t="shared" si="27"/>
        <v>99</v>
      </c>
      <c r="E88" s="97">
        <v>7</v>
      </c>
      <c r="F88" s="85">
        <v>11</v>
      </c>
      <c r="G88" s="85">
        <f t="shared" si="25"/>
        <v>18</v>
      </c>
      <c r="H88" s="97">
        <f t="shared" si="28"/>
        <v>42</v>
      </c>
      <c r="I88" s="85">
        <f t="shared" si="28"/>
        <v>75</v>
      </c>
      <c r="J88" s="85">
        <f t="shared" si="26"/>
        <v>117</v>
      </c>
    </row>
    <row r="89" spans="1:10" ht="12" customHeight="1">
      <c r="A89" s="80" t="s">
        <v>25</v>
      </c>
      <c r="B89" s="95">
        <v>36</v>
      </c>
      <c r="C89" s="85">
        <v>29</v>
      </c>
      <c r="D89" s="85">
        <f t="shared" si="27"/>
        <v>65</v>
      </c>
      <c r="E89" s="97">
        <v>12</v>
      </c>
      <c r="F89" s="85">
        <v>6</v>
      </c>
      <c r="G89" s="85">
        <f t="shared" si="25"/>
        <v>18</v>
      </c>
      <c r="H89" s="97">
        <f t="shared" si="28"/>
        <v>48</v>
      </c>
      <c r="I89" s="85">
        <f t="shared" si="28"/>
        <v>35</v>
      </c>
      <c r="J89" s="85">
        <f t="shared" si="26"/>
        <v>83</v>
      </c>
    </row>
    <row r="90" spans="1:10" ht="12" customHeight="1">
      <c r="A90" s="80" t="s">
        <v>26</v>
      </c>
      <c r="B90" s="95">
        <v>32</v>
      </c>
      <c r="C90" s="85">
        <v>49</v>
      </c>
      <c r="D90" s="85">
        <f t="shared" si="27"/>
        <v>81</v>
      </c>
      <c r="E90" s="97">
        <v>10</v>
      </c>
      <c r="F90" s="85">
        <v>4</v>
      </c>
      <c r="G90" s="85">
        <f t="shared" si="25"/>
        <v>14</v>
      </c>
      <c r="H90" s="97">
        <f t="shared" si="28"/>
        <v>42</v>
      </c>
      <c r="I90" s="85">
        <f t="shared" si="28"/>
        <v>53</v>
      </c>
      <c r="J90" s="85">
        <f t="shared" si="26"/>
        <v>95</v>
      </c>
    </row>
    <row r="91" spans="1:10" ht="12" customHeight="1">
      <c r="A91" s="80" t="s">
        <v>27</v>
      </c>
      <c r="B91" s="95">
        <v>45</v>
      </c>
      <c r="C91" s="85">
        <v>66</v>
      </c>
      <c r="D91" s="85">
        <f t="shared" si="27"/>
        <v>111</v>
      </c>
      <c r="E91" s="97">
        <v>3</v>
      </c>
      <c r="F91" s="85">
        <v>3</v>
      </c>
      <c r="G91" s="85">
        <f t="shared" si="25"/>
        <v>6</v>
      </c>
      <c r="H91" s="97">
        <f t="shared" si="28"/>
        <v>48</v>
      </c>
      <c r="I91" s="85">
        <f t="shared" si="28"/>
        <v>69</v>
      </c>
      <c r="J91" s="85">
        <f t="shared" si="26"/>
        <v>117</v>
      </c>
    </row>
    <row r="92" spans="1:10" ht="12" customHeight="1">
      <c r="A92" s="80" t="s">
        <v>28</v>
      </c>
      <c r="B92" s="95">
        <v>17</v>
      </c>
      <c r="C92" s="85">
        <v>18</v>
      </c>
      <c r="D92" s="98">
        <f t="shared" si="27"/>
        <v>35</v>
      </c>
      <c r="E92" s="97">
        <v>1</v>
      </c>
      <c r="F92" s="85">
        <v>2</v>
      </c>
      <c r="G92" s="98">
        <f t="shared" si="25"/>
        <v>3</v>
      </c>
      <c r="H92" s="97">
        <f t="shared" si="28"/>
        <v>18</v>
      </c>
      <c r="I92" s="85">
        <f t="shared" si="28"/>
        <v>20</v>
      </c>
      <c r="J92" s="98">
        <f t="shared" si="26"/>
        <v>38</v>
      </c>
    </row>
    <row r="93" spans="1:10" ht="12" customHeight="1">
      <c r="A93" s="99" t="s">
        <v>5</v>
      </c>
      <c r="B93" s="100">
        <f aca="true" t="shared" si="29" ref="B93:J93">SUM(B84:B92)</f>
        <v>230</v>
      </c>
      <c r="C93" s="101">
        <f t="shared" si="29"/>
        <v>398</v>
      </c>
      <c r="D93" s="101">
        <f t="shared" si="29"/>
        <v>628</v>
      </c>
      <c r="E93" s="100">
        <f t="shared" si="29"/>
        <v>80</v>
      </c>
      <c r="F93" s="101">
        <f t="shared" si="29"/>
        <v>144</v>
      </c>
      <c r="G93" s="101">
        <f t="shared" si="29"/>
        <v>224</v>
      </c>
      <c r="H93" s="100">
        <f t="shared" si="29"/>
        <v>310</v>
      </c>
      <c r="I93" s="101">
        <f t="shared" si="29"/>
        <v>542</v>
      </c>
      <c r="J93" s="101">
        <f t="shared" si="29"/>
        <v>852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33.8515625" style="117" customWidth="1"/>
    <col min="2" max="10" width="8.28125" style="117" customWidth="1"/>
    <col min="11" max="16384" width="9.140625" style="117" customWidth="1"/>
  </cols>
  <sheetData>
    <row r="1" s="103" customFormat="1" ht="12.75">
      <c r="A1" s="1" t="s">
        <v>60</v>
      </c>
    </row>
    <row r="2" spans="1:10" s="103" customFormat="1" ht="12.75">
      <c r="A2" s="104" t="s">
        <v>15</v>
      </c>
      <c r="B2" s="104"/>
      <c r="C2" s="105"/>
      <c r="D2" s="105"/>
      <c r="E2" s="105"/>
      <c r="F2" s="104"/>
      <c r="G2" s="104"/>
      <c r="H2" s="105"/>
      <c r="I2" s="104"/>
      <c r="J2" s="104"/>
    </row>
    <row r="3" spans="1:10" s="103" customFormat="1" ht="12.75">
      <c r="A3" s="104"/>
      <c r="B3" s="104"/>
      <c r="C3" s="104"/>
      <c r="D3" s="105"/>
      <c r="E3" s="105"/>
      <c r="F3" s="104"/>
      <c r="G3" s="104"/>
      <c r="H3" s="105"/>
      <c r="I3" s="104"/>
      <c r="J3" s="104"/>
    </row>
    <row r="4" spans="1:10" s="103" customFormat="1" ht="12.75">
      <c r="A4" s="104" t="s">
        <v>64</v>
      </c>
      <c r="B4" s="104"/>
      <c r="C4" s="104"/>
      <c r="D4" s="105"/>
      <c r="E4" s="105"/>
      <c r="F4" s="104"/>
      <c r="G4" s="104"/>
      <c r="H4" s="105"/>
      <c r="I4" s="104"/>
      <c r="J4" s="104"/>
    </row>
    <row r="5" spans="1:10" s="103" customFormat="1" ht="12.75">
      <c r="A5" s="104"/>
      <c r="B5" s="104"/>
      <c r="C5" s="104"/>
      <c r="D5" s="105"/>
      <c r="E5" s="105"/>
      <c r="F5" s="104"/>
      <c r="G5" s="104"/>
      <c r="H5" s="105"/>
      <c r="I5" s="104"/>
      <c r="J5" s="104"/>
    </row>
    <row r="6" spans="1:10" s="103" customFormat="1" ht="12.75">
      <c r="A6" s="104" t="s">
        <v>2</v>
      </c>
      <c r="B6" s="106"/>
      <c r="C6" s="104"/>
      <c r="D6" s="106"/>
      <c r="E6" s="107"/>
      <c r="F6" s="106"/>
      <c r="G6" s="106"/>
      <c r="H6" s="106"/>
      <c r="I6" s="106"/>
      <c r="J6" s="106"/>
    </row>
    <row r="7" s="103" customFormat="1" ht="13.5" thickBot="1"/>
    <row r="8" spans="1:10" s="103" customFormat="1" ht="12.75">
      <c r="A8" s="108"/>
      <c r="B8" s="109"/>
      <c r="C8" s="108" t="s">
        <v>3</v>
      </c>
      <c r="D8" s="108"/>
      <c r="E8" s="109"/>
      <c r="F8" s="108" t="s">
        <v>4</v>
      </c>
      <c r="G8" s="108"/>
      <c r="H8" s="109"/>
      <c r="I8" s="108" t="s">
        <v>5</v>
      </c>
      <c r="J8" s="108"/>
    </row>
    <row r="9" spans="1:10" s="103" customFormat="1" ht="12.75">
      <c r="A9" s="110"/>
      <c r="B9" s="184" t="s">
        <v>6</v>
      </c>
      <c r="C9" s="171" t="s">
        <v>7</v>
      </c>
      <c r="D9" s="171" t="s">
        <v>5</v>
      </c>
      <c r="E9" s="184" t="s">
        <v>6</v>
      </c>
      <c r="F9" s="171" t="s">
        <v>7</v>
      </c>
      <c r="G9" s="171" t="s">
        <v>5</v>
      </c>
      <c r="H9" s="184" t="s">
        <v>6</v>
      </c>
      <c r="I9" s="171" t="s">
        <v>7</v>
      </c>
      <c r="J9" s="171" t="s">
        <v>5</v>
      </c>
    </row>
    <row r="10" spans="1:10" s="103" customFormat="1" ht="12.75">
      <c r="A10" s="111"/>
      <c r="B10" s="112"/>
      <c r="C10" s="113"/>
      <c r="D10" s="113"/>
      <c r="E10" s="112"/>
      <c r="F10" s="114"/>
      <c r="G10" s="114"/>
      <c r="H10" s="112"/>
      <c r="I10" s="114"/>
      <c r="J10" s="114"/>
    </row>
    <row r="11" spans="1:8" s="103" customFormat="1" ht="12.75">
      <c r="A11" s="102" t="s">
        <v>8</v>
      </c>
      <c r="B11" s="115"/>
      <c r="E11" s="115"/>
      <c r="H11" s="115"/>
    </row>
    <row r="12" spans="1:10" s="103" customFormat="1" ht="12.75">
      <c r="A12" s="103" t="s">
        <v>32</v>
      </c>
      <c r="B12" s="162">
        <v>230</v>
      </c>
      <c r="C12" s="163">
        <v>877</v>
      </c>
      <c r="D12" s="163">
        <f>SUM(B12:C12)</f>
        <v>1107</v>
      </c>
      <c r="E12" s="162">
        <v>170</v>
      </c>
      <c r="F12" s="163">
        <v>364</v>
      </c>
      <c r="G12" s="163">
        <f>SUM(E12:F12)</f>
        <v>534</v>
      </c>
      <c r="H12" s="162">
        <f aca="true" t="shared" si="0" ref="H12:I15">SUM(B12,E12)</f>
        <v>400</v>
      </c>
      <c r="I12" s="163">
        <f t="shared" si="0"/>
        <v>1241</v>
      </c>
      <c r="J12" s="163">
        <f>SUM(H12:I12)</f>
        <v>1641</v>
      </c>
    </row>
    <row r="13" spans="1:10" s="103" customFormat="1" ht="12.75">
      <c r="A13" s="103" t="s">
        <v>33</v>
      </c>
      <c r="B13" s="162">
        <v>927</v>
      </c>
      <c r="C13" s="163">
        <v>2642</v>
      </c>
      <c r="D13" s="163">
        <f>SUM(B13:C13)</f>
        <v>3569</v>
      </c>
      <c r="E13" s="162">
        <v>386</v>
      </c>
      <c r="F13" s="163">
        <v>847</v>
      </c>
      <c r="G13" s="163">
        <f>SUM(E13:F13)</f>
        <v>1233</v>
      </c>
      <c r="H13" s="162">
        <f t="shared" si="0"/>
        <v>1313</v>
      </c>
      <c r="I13" s="163">
        <f t="shared" si="0"/>
        <v>3489</v>
      </c>
      <c r="J13" s="163">
        <f>SUM(H13:I13)</f>
        <v>4802</v>
      </c>
    </row>
    <row r="14" spans="1:10" s="103" customFormat="1" ht="12.75">
      <c r="A14" s="103" t="s">
        <v>34</v>
      </c>
      <c r="B14" s="162">
        <v>47</v>
      </c>
      <c r="C14" s="163">
        <v>139</v>
      </c>
      <c r="D14" s="163">
        <f>SUM(B14:C14)</f>
        <v>186</v>
      </c>
      <c r="E14" s="164">
        <v>24</v>
      </c>
      <c r="F14" s="163">
        <v>45</v>
      </c>
      <c r="G14" s="163">
        <f>SUM(E14:F14)</f>
        <v>69</v>
      </c>
      <c r="H14" s="162">
        <f t="shared" si="0"/>
        <v>71</v>
      </c>
      <c r="I14" s="163">
        <f t="shared" si="0"/>
        <v>184</v>
      </c>
      <c r="J14" s="163">
        <f>SUM(H14:I14)</f>
        <v>255</v>
      </c>
    </row>
    <row r="15" spans="1:10" s="103" customFormat="1" ht="12.75">
      <c r="A15" s="103" t="s">
        <v>35</v>
      </c>
      <c r="B15" s="162">
        <v>50</v>
      </c>
      <c r="C15" s="163">
        <v>192</v>
      </c>
      <c r="D15" s="163">
        <f>SUM(B15:C15)</f>
        <v>242</v>
      </c>
      <c r="E15" s="162">
        <v>47</v>
      </c>
      <c r="F15" s="163">
        <v>90</v>
      </c>
      <c r="G15" s="163">
        <f>SUM(E15:F15)</f>
        <v>137</v>
      </c>
      <c r="H15" s="162">
        <f t="shared" si="0"/>
        <v>97</v>
      </c>
      <c r="I15" s="163">
        <f t="shared" si="0"/>
        <v>282</v>
      </c>
      <c r="J15" s="163">
        <f>SUM(H15:I15)</f>
        <v>379</v>
      </c>
    </row>
    <row r="16" spans="1:10" s="103" customFormat="1" ht="12.75">
      <c r="A16" s="116" t="s">
        <v>5</v>
      </c>
      <c r="B16" s="165">
        <f>SUM(B12:B15)</f>
        <v>1254</v>
      </c>
      <c r="C16" s="166">
        <f aca="true" t="shared" si="1" ref="C16:J16">SUM(C12:C15)</f>
        <v>3850</v>
      </c>
      <c r="D16" s="166">
        <f t="shared" si="1"/>
        <v>5104</v>
      </c>
      <c r="E16" s="165">
        <f t="shared" si="1"/>
        <v>627</v>
      </c>
      <c r="F16" s="166">
        <f t="shared" si="1"/>
        <v>1346</v>
      </c>
      <c r="G16" s="166">
        <f t="shared" si="1"/>
        <v>1973</v>
      </c>
      <c r="H16" s="165">
        <f t="shared" si="1"/>
        <v>1881</v>
      </c>
      <c r="I16" s="166">
        <f t="shared" si="1"/>
        <v>5196</v>
      </c>
      <c r="J16" s="166">
        <f t="shared" si="1"/>
        <v>7077</v>
      </c>
    </row>
    <row r="17" spans="2:8" s="103" customFormat="1" ht="12.75">
      <c r="B17" s="115"/>
      <c r="E17" s="115"/>
      <c r="H17" s="115"/>
    </row>
    <row r="18" spans="1:8" s="103" customFormat="1" ht="12.75">
      <c r="A18" s="102" t="s">
        <v>12</v>
      </c>
      <c r="B18" s="115"/>
      <c r="E18" s="115"/>
      <c r="H18" s="115"/>
    </row>
    <row r="19" spans="1:10" s="103" customFormat="1" ht="12.75">
      <c r="A19" s="103" t="s">
        <v>32</v>
      </c>
      <c r="B19" s="162">
        <v>39</v>
      </c>
      <c r="C19" s="163">
        <v>259</v>
      </c>
      <c r="D19" s="163">
        <f>SUM(B19:C19)</f>
        <v>298</v>
      </c>
      <c r="E19" s="162">
        <v>17</v>
      </c>
      <c r="F19" s="163">
        <v>123</v>
      </c>
      <c r="G19" s="163">
        <f>SUM(E19:F19)</f>
        <v>140</v>
      </c>
      <c r="H19" s="162">
        <f aca="true" t="shared" si="2" ref="H19:I22">SUM(B19,E19)</f>
        <v>56</v>
      </c>
      <c r="I19" s="163">
        <f t="shared" si="2"/>
        <v>382</v>
      </c>
      <c r="J19" s="163">
        <f>SUM(H19:I19)</f>
        <v>438</v>
      </c>
    </row>
    <row r="20" spans="1:10" s="103" customFormat="1" ht="12.75">
      <c r="A20" s="103" t="s">
        <v>33</v>
      </c>
      <c r="B20" s="162">
        <v>102</v>
      </c>
      <c r="C20" s="163">
        <v>519</v>
      </c>
      <c r="D20" s="163">
        <f>SUM(B20:C20)</f>
        <v>621</v>
      </c>
      <c r="E20" s="162">
        <v>55</v>
      </c>
      <c r="F20" s="163">
        <v>280</v>
      </c>
      <c r="G20" s="163">
        <f>SUM(E20:F20)</f>
        <v>335</v>
      </c>
      <c r="H20" s="162">
        <f t="shared" si="2"/>
        <v>157</v>
      </c>
      <c r="I20" s="163">
        <f t="shared" si="2"/>
        <v>799</v>
      </c>
      <c r="J20" s="163">
        <f>SUM(H20:I20)</f>
        <v>956</v>
      </c>
    </row>
    <row r="21" spans="1:10" s="103" customFormat="1" ht="12.75">
      <c r="A21" s="103" t="s">
        <v>34</v>
      </c>
      <c r="B21" s="162">
        <v>2</v>
      </c>
      <c r="C21" s="163">
        <v>7</v>
      </c>
      <c r="D21" s="163">
        <f>SUM(B21:C21)</f>
        <v>9</v>
      </c>
      <c r="E21" s="164">
        <v>3</v>
      </c>
      <c r="F21" s="163">
        <v>9</v>
      </c>
      <c r="G21" s="163">
        <f>SUM(E21:F21)</f>
        <v>12</v>
      </c>
      <c r="H21" s="162">
        <f t="shared" si="2"/>
        <v>5</v>
      </c>
      <c r="I21" s="163">
        <f t="shared" si="2"/>
        <v>16</v>
      </c>
      <c r="J21" s="163">
        <f>SUM(H21:I21)</f>
        <v>21</v>
      </c>
    </row>
    <row r="22" spans="1:10" s="103" customFormat="1" ht="12.75">
      <c r="A22" s="103" t="s">
        <v>35</v>
      </c>
      <c r="B22" s="162">
        <v>15</v>
      </c>
      <c r="C22" s="163">
        <v>79</v>
      </c>
      <c r="D22" s="163">
        <f>SUM(B22:C22)</f>
        <v>94</v>
      </c>
      <c r="E22" s="162">
        <v>9</v>
      </c>
      <c r="F22" s="163">
        <v>53</v>
      </c>
      <c r="G22" s="163">
        <f>SUM(E22:F22)</f>
        <v>62</v>
      </c>
      <c r="H22" s="162">
        <f t="shared" si="2"/>
        <v>24</v>
      </c>
      <c r="I22" s="163">
        <f t="shared" si="2"/>
        <v>132</v>
      </c>
      <c r="J22" s="163">
        <f>SUM(H22:I22)</f>
        <v>156</v>
      </c>
    </row>
    <row r="23" spans="1:10" s="103" customFormat="1" ht="12.75">
      <c r="A23" s="116" t="s">
        <v>5</v>
      </c>
      <c r="B23" s="165">
        <f aca="true" t="shared" si="3" ref="B23:J23">SUM(B19:B22)</f>
        <v>158</v>
      </c>
      <c r="C23" s="166">
        <f t="shared" si="3"/>
        <v>864</v>
      </c>
      <c r="D23" s="166">
        <f t="shared" si="3"/>
        <v>1022</v>
      </c>
      <c r="E23" s="165">
        <f t="shared" si="3"/>
        <v>84</v>
      </c>
      <c r="F23" s="166">
        <f t="shared" si="3"/>
        <v>465</v>
      </c>
      <c r="G23" s="166">
        <f t="shared" si="3"/>
        <v>549</v>
      </c>
      <c r="H23" s="165">
        <f t="shared" si="3"/>
        <v>242</v>
      </c>
      <c r="I23" s="166">
        <f t="shared" si="3"/>
        <v>1329</v>
      </c>
      <c r="J23" s="166">
        <f t="shared" si="3"/>
        <v>1571</v>
      </c>
    </row>
    <row r="24" spans="1:10" s="103" customFormat="1" ht="12.75">
      <c r="A24" s="181"/>
      <c r="B24" s="182"/>
      <c r="C24" s="181"/>
      <c r="D24" s="181"/>
      <c r="E24" s="182"/>
      <c r="F24" s="181"/>
      <c r="G24" s="181"/>
      <c r="H24" s="182"/>
      <c r="I24" s="181"/>
      <c r="J24" s="181"/>
    </row>
    <row r="25" spans="1:10" s="103" customFormat="1" ht="12.75">
      <c r="A25" s="180" t="s">
        <v>13</v>
      </c>
      <c r="B25" s="115"/>
      <c r="C25" s="111"/>
      <c r="D25" s="111"/>
      <c r="E25" s="115"/>
      <c r="F25" s="111"/>
      <c r="G25" s="111"/>
      <c r="H25" s="115"/>
      <c r="I25" s="111"/>
      <c r="J25" s="111"/>
    </row>
    <row r="26" spans="1:10" s="103" customFormat="1" ht="12.75">
      <c r="A26" s="103" t="s">
        <v>32</v>
      </c>
      <c r="B26" s="162">
        <f aca="true" t="shared" si="4" ref="B26:C29">SUM(B12,B19)</f>
        <v>269</v>
      </c>
      <c r="C26" s="163">
        <f t="shared" si="4"/>
        <v>1136</v>
      </c>
      <c r="D26" s="163">
        <f>SUM(B26:C26)</f>
        <v>1405</v>
      </c>
      <c r="E26" s="162">
        <f aca="true" t="shared" si="5" ref="E26:F29">SUM(E12,E19)</f>
        <v>187</v>
      </c>
      <c r="F26" s="163">
        <f t="shared" si="5"/>
        <v>487</v>
      </c>
      <c r="G26" s="163">
        <f>SUM(E26:F26)</f>
        <v>674</v>
      </c>
      <c r="H26" s="162">
        <f aca="true" t="shared" si="6" ref="H26:I29">SUM(B26,E26)</f>
        <v>456</v>
      </c>
      <c r="I26" s="163">
        <f t="shared" si="6"/>
        <v>1623</v>
      </c>
      <c r="J26" s="163">
        <f>SUM(H26:I26)</f>
        <v>2079</v>
      </c>
    </row>
    <row r="27" spans="1:10" s="103" customFormat="1" ht="12.75">
      <c r="A27" s="103" t="s">
        <v>33</v>
      </c>
      <c r="B27" s="162">
        <f t="shared" si="4"/>
        <v>1029</v>
      </c>
      <c r="C27" s="163">
        <f t="shared" si="4"/>
        <v>3161</v>
      </c>
      <c r="D27" s="163">
        <f>SUM(B27:C27)</f>
        <v>4190</v>
      </c>
      <c r="E27" s="162">
        <f t="shared" si="5"/>
        <v>441</v>
      </c>
      <c r="F27" s="163">
        <f t="shared" si="5"/>
        <v>1127</v>
      </c>
      <c r="G27" s="163">
        <f>SUM(E27:F27)</f>
        <v>1568</v>
      </c>
      <c r="H27" s="162">
        <f t="shared" si="6"/>
        <v>1470</v>
      </c>
      <c r="I27" s="163">
        <f t="shared" si="6"/>
        <v>4288</v>
      </c>
      <c r="J27" s="163">
        <f>SUM(H27:I27)</f>
        <v>5758</v>
      </c>
    </row>
    <row r="28" spans="1:10" s="103" customFormat="1" ht="12.75">
      <c r="A28" s="103" t="s">
        <v>34</v>
      </c>
      <c r="B28" s="162">
        <f t="shared" si="4"/>
        <v>49</v>
      </c>
      <c r="C28" s="163">
        <f t="shared" si="4"/>
        <v>146</v>
      </c>
      <c r="D28" s="163">
        <f>SUM(B28:C28)</f>
        <v>195</v>
      </c>
      <c r="E28" s="164">
        <f t="shared" si="5"/>
        <v>27</v>
      </c>
      <c r="F28" s="163">
        <f t="shared" si="5"/>
        <v>54</v>
      </c>
      <c r="G28" s="163">
        <f>SUM(E28:F28)</f>
        <v>81</v>
      </c>
      <c r="H28" s="162">
        <f t="shared" si="6"/>
        <v>76</v>
      </c>
      <c r="I28" s="163">
        <f t="shared" si="6"/>
        <v>200</v>
      </c>
      <c r="J28" s="163">
        <f>SUM(H28:I28)</f>
        <v>276</v>
      </c>
    </row>
    <row r="29" spans="1:10" s="103" customFormat="1" ht="12.75">
      <c r="A29" s="103" t="s">
        <v>35</v>
      </c>
      <c r="B29" s="162">
        <f t="shared" si="4"/>
        <v>65</v>
      </c>
      <c r="C29" s="163">
        <f t="shared" si="4"/>
        <v>271</v>
      </c>
      <c r="D29" s="163">
        <f>SUM(B29:C29)</f>
        <v>336</v>
      </c>
      <c r="E29" s="162">
        <f t="shared" si="5"/>
        <v>56</v>
      </c>
      <c r="F29" s="163">
        <f t="shared" si="5"/>
        <v>143</v>
      </c>
      <c r="G29" s="163">
        <f>SUM(E29:F29)</f>
        <v>199</v>
      </c>
      <c r="H29" s="162">
        <f t="shared" si="6"/>
        <v>121</v>
      </c>
      <c r="I29" s="163">
        <f t="shared" si="6"/>
        <v>414</v>
      </c>
      <c r="J29" s="163">
        <f>SUM(H29:I29)</f>
        <v>535</v>
      </c>
    </row>
    <row r="30" spans="1:10" s="103" customFormat="1" ht="12.75">
      <c r="A30" s="116" t="s">
        <v>5</v>
      </c>
      <c r="B30" s="165">
        <f aca="true" t="shared" si="7" ref="B30:J30">SUM(B26:B29)</f>
        <v>1412</v>
      </c>
      <c r="C30" s="166">
        <f t="shared" si="7"/>
        <v>4714</v>
      </c>
      <c r="D30" s="166">
        <f>SUM(B30:C30)</f>
        <v>6126</v>
      </c>
      <c r="E30" s="165">
        <f t="shared" si="7"/>
        <v>711</v>
      </c>
      <c r="F30" s="166">
        <f t="shared" si="7"/>
        <v>1811</v>
      </c>
      <c r="G30" s="166">
        <f>SUM(E30:F30)</f>
        <v>2522</v>
      </c>
      <c r="H30" s="165">
        <f t="shared" si="7"/>
        <v>2123</v>
      </c>
      <c r="I30" s="166">
        <f t="shared" si="7"/>
        <v>6525</v>
      </c>
      <c r="J30" s="166">
        <f t="shared" si="7"/>
        <v>8648</v>
      </c>
    </row>
    <row r="31" s="103" customFormat="1" ht="12.75"/>
    <row r="32" spans="1:11" s="191" customFormat="1" ht="12.75">
      <c r="A32" s="197"/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1" s="191" customFormat="1" ht="12.75">
      <c r="A33" s="198"/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s="191" customFormat="1" ht="12.75">
      <c r="A34" s="200"/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9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95" sqref="A95"/>
    </sheetView>
  </sheetViews>
  <sheetFormatPr defaultColWidth="9.140625" defaultRowHeight="12" customHeight="1"/>
  <cols>
    <col min="1" max="1" width="31.8515625" style="119" customWidth="1"/>
    <col min="2" max="16384" width="9.140625" style="119" customWidth="1"/>
  </cols>
  <sheetData>
    <row r="1" spans="1:10" ht="12" customHeight="1">
      <c r="A1" s="1" t="s">
        <v>60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" customHeight="1">
      <c r="A2" s="120" t="s">
        <v>30</v>
      </c>
      <c r="B2" s="121"/>
      <c r="C2" s="121"/>
      <c r="D2" s="121"/>
      <c r="E2" s="122"/>
      <c r="F2" s="122"/>
      <c r="G2" s="121"/>
      <c r="H2" s="121"/>
      <c r="I2" s="121"/>
      <c r="J2" s="121"/>
    </row>
    <row r="3" spans="1:10" ht="12" customHeight="1">
      <c r="A3" s="121"/>
      <c r="B3" s="121"/>
      <c r="C3" s="121"/>
      <c r="D3" s="121"/>
      <c r="E3" s="122"/>
      <c r="F3" s="120"/>
      <c r="G3" s="121"/>
      <c r="H3" s="121"/>
      <c r="I3" s="121"/>
      <c r="J3" s="121"/>
    </row>
    <row r="4" spans="1:10" ht="12" customHeight="1">
      <c r="A4" s="120" t="s">
        <v>65</v>
      </c>
      <c r="B4" s="121"/>
      <c r="C4" s="121"/>
      <c r="D4" s="121"/>
      <c r="E4" s="122"/>
      <c r="F4" s="122"/>
      <c r="G4" s="121"/>
      <c r="H4" s="121"/>
      <c r="I4" s="121"/>
      <c r="J4" s="121"/>
    </row>
    <row r="5" spans="1:10" ht="12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2" customHeight="1">
      <c r="A6" s="120" t="s">
        <v>18</v>
      </c>
      <c r="B6" s="125"/>
      <c r="C6" s="125"/>
      <c r="D6" s="125"/>
      <c r="E6" s="125"/>
      <c r="F6" s="126"/>
      <c r="G6" s="125"/>
      <c r="H6" s="125"/>
      <c r="I6" s="125"/>
      <c r="J6" s="125"/>
    </row>
    <row r="7" spans="1:10" ht="12" customHeight="1">
      <c r="A7" s="120"/>
      <c r="B7" s="125"/>
      <c r="C7" s="125"/>
      <c r="D7" s="125"/>
      <c r="E7" s="125"/>
      <c r="F7" s="126"/>
      <c r="G7" s="125"/>
      <c r="H7" s="125"/>
      <c r="I7" s="125"/>
      <c r="J7" s="125"/>
    </row>
    <row r="8" spans="1:10" ht="12" customHeight="1">
      <c r="A8" s="120" t="s">
        <v>57</v>
      </c>
      <c r="B8" s="125"/>
      <c r="C8" s="125"/>
      <c r="D8" s="125"/>
      <c r="E8" s="125"/>
      <c r="F8" s="126"/>
      <c r="G8" s="125"/>
      <c r="H8" s="125"/>
      <c r="I8" s="125"/>
      <c r="J8" s="125"/>
    </row>
    <row r="9" spans="1:10" ht="12" customHeight="1" thickBot="1">
      <c r="A9" s="118"/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2" customHeight="1">
      <c r="A10" s="127"/>
      <c r="B10" s="128" t="s">
        <v>3</v>
      </c>
      <c r="C10" s="129"/>
      <c r="D10" s="129"/>
      <c r="E10" s="128" t="s">
        <v>4</v>
      </c>
      <c r="F10" s="129"/>
      <c r="G10" s="129"/>
      <c r="H10" s="128" t="s">
        <v>5</v>
      </c>
      <c r="I10" s="129"/>
      <c r="J10" s="129"/>
    </row>
    <row r="11" spans="1:10" ht="12" customHeight="1">
      <c r="A11" s="185" t="s">
        <v>19</v>
      </c>
      <c r="B11" s="130" t="s">
        <v>6</v>
      </c>
      <c r="C11" s="131" t="s">
        <v>7</v>
      </c>
      <c r="D11" s="131" t="s">
        <v>5</v>
      </c>
      <c r="E11" s="130" t="s">
        <v>6</v>
      </c>
      <c r="F11" s="131" t="s">
        <v>7</v>
      </c>
      <c r="G11" s="131" t="s">
        <v>5</v>
      </c>
      <c r="H11" s="130" t="s">
        <v>6</v>
      </c>
      <c r="I11" s="131" t="s">
        <v>7</v>
      </c>
      <c r="J11" s="131" t="s">
        <v>5</v>
      </c>
    </row>
    <row r="12" spans="1:10" ht="12" customHeight="1">
      <c r="A12" s="132"/>
      <c r="B12" s="133"/>
      <c r="C12" s="134"/>
      <c r="D12" s="134"/>
      <c r="E12" s="133"/>
      <c r="F12" s="134"/>
      <c r="G12" s="134"/>
      <c r="H12" s="133"/>
      <c r="I12" s="134"/>
      <c r="J12" s="134"/>
    </row>
    <row r="13" spans="1:10" ht="12" customHeight="1">
      <c r="A13" s="118" t="s">
        <v>20</v>
      </c>
      <c r="B13" s="135">
        <f aca="true" t="shared" si="0" ref="B13:J13">SUM(B36,B52,B68,B84)</f>
        <v>0</v>
      </c>
      <c r="C13" s="124">
        <f t="shared" si="0"/>
        <v>0</v>
      </c>
      <c r="D13" s="124">
        <f t="shared" si="0"/>
        <v>0</v>
      </c>
      <c r="E13" s="135">
        <f t="shared" si="0"/>
        <v>151</v>
      </c>
      <c r="F13" s="124">
        <f t="shared" si="0"/>
        <v>167</v>
      </c>
      <c r="G13" s="124">
        <f t="shared" si="0"/>
        <v>318</v>
      </c>
      <c r="H13" s="135">
        <f t="shared" si="0"/>
        <v>151</v>
      </c>
      <c r="I13" s="124">
        <f t="shared" si="0"/>
        <v>167</v>
      </c>
      <c r="J13" s="124">
        <f t="shared" si="0"/>
        <v>318</v>
      </c>
    </row>
    <row r="14" spans="1:10" ht="12" customHeight="1">
      <c r="A14" s="118" t="s">
        <v>21</v>
      </c>
      <c r="B14" s="135">
        <f aca="true" t="shared" si="1" ref="B14:J14">SUM(B37,B53,B69,B85)</f>
        <v>33</v>
      </c>
      <c r="C14" s="124">
        <f t="shared" si="1"/>
        <v>47</v>
      </c>
      <c r="D14" s="124">
        <f t="shared" si="1"/>
        <v>80</v>
      </c>
      <c r="E14" s="135">
        <f t="shared" si="1"/>
        <v>191</v>
      </c>
      <c r="F14" s="124">
        <f t="shared" si="1"/>
        <v>329</v>
      </c>
      <c r="G14" s="124">
        <f t="shared" si="1"/>
        <v>520</v>
      </c>
      <c r="H14" s="135">
        <f t="shared" si="1"/>
        <v>224</v>
      </c>
      <c r="I14" s="124">
        <f t="shared" si="1"/>
        <v>376</v>
      </c>
      <c r="J14" s="124">
        <f t="shared" si="1"/>
        <v>600</v>
      </c>
    </row>
    <row r="15" spans="1:10" ht="12" customHeight="1">
      <c r="A15" s="118" t="s">
        <v>22</v>
      </c>
      <c r="B15" s="135">
        <f aca="true" t="shared" si="2" ref="B15:J15">SUM(B38,B54,B70,B86)</f>
        <v>134</v>
      </c>
      <c r="C15" s="124">
        <f t="shared" si="2"/>
        <v>289</v>
      </c>
      <c r="D15" s="124">
        <f t="shared" si="2"/>
        <v>423</v>
      </c>
      <c r="E15" s="135">
        <f t="shared" si="2"/>
        <v>115</v>
      </c>
      <c r="F15" s="124">
        <f t="shared" si="2"/>
        <v>234</v>
      </c>
      <c r="G15" s="124">
        <f t="shared" si="2"/>
        <v>349</v>
      </c>
      <c r="H15" s="135">
        <f t="shared" si="2"/>
        <v>249</v>
      </c>
      <c r="I15" s="124">
        <f t="shared" si="2"/>
        <v>523</v>
      </c>
      <c r="J15" s="124">
        <f t="shared" si="2"/>
        <v>772</v>
      </c>
    </row>
    <row r="16" spans="1:10" ht="12" customHeight="1">
      <c r="A16" s="118" t="s">
        <v>23</v>
      </c>
      <c r="B16" s="135">
        <f aca="true" t="shared" si="3" ref="B16:J16">SUM(B39,B55,B71,B87)</f>
        <v>240</v>
      </c>
      <c r="C16" s="124">
        <f t="shared" si="3"/>
        <v>480</v>
      </c>
      <c r="D16" s="124">
        <f t="shared" si="3"/>
        <v>720</v>
      </c>
      <c r="E16" s="135">
        <f t="shared" si="3"/>
        <v>69</v>
      </c>
      <c r="F16" s="124">
        <f t="shared" si="3"/>
        <v>225</v>
      </c>
      <c r="G16" s="124">
        <f t="shared" si="3"/>
        <v>294</v>
      </c>
      <c r="H16" s="135">
        <f t="shared" si="3"/>
        <v>309</v>
      </c>
      <c r="I16" s="124">
        <f t="shared" si="3"/>
        <v>705</v>
      </c>
      <c r="J16" s="124">
        <f t="shared" si="3"/>
        <v>1014</v>
      </c>
    </row>
    <row r="17" spans="1:10" ht="12" customHeight="1">
      <c r="A17" s="118" t="s">
        <v>24</v>
      </c>
      <c r="B17" s="135">
        <f aca="true" t="shared" si="4" ref="B17:J17">SUM(B40,B56,B72,B88)</f>
        <v>170</v>
      </c>
      <c r="C17" s="124">
        <f t="shared" si="4"/>
        <v>484</v>
      </c>
      <c r="D17" s="124">
        <f t="shared" si="4"/>
        <v>654</v>
      </c>
      <c r="E17" s="135">
        <f t="shared" si="4"/>
        <v>33</v>
      </c>
      <c r="F17" s="124">
        <f t="shared" si="4"/>
        <v>135</v>
      </c>
      <c r="G17" s="124">
        <f t="shared" si="4"/>
        <v>168</v>
      </c>
      <c r="H17" s="135">
        <f t="shared" si="4"/>
        <v>203</v>
      </c>
      <c r="I17" s="124">
        <f t="shared" si="4"/>
        <v>619</v>
      </c>
      <c r="J17" s="124">
        <f t="shared" si="4"/>
        <v>822</v>
      </c>
    </row>
    <row r="18" spans="1:10" ht="12" customHeight="1">
      <c r="A18" s="118" t="s">
        <v>25</v>
      </c>
      <c r="B18" s="135">
        <f aca="true" t="shared" si="5" ref="B18:J18">SUM(B41,B57,B73,B89)</f>
        <v>138</v>
      </c>
      <c r="C18" s="124">
        <f t="shared" si="5"/>
        <v>607</v>
      </c>
      <c r="D18" s="124">
        <f t="shared" si="5"/>
        <v>745</v>
      </c>
      <c r="E18" s="135">
        <f t="shared" si="5"/>
        <v>27</v>
      </c>
      <c r="F18" s="124">
        <f t="shared" si="5"/>
        <v>113</v>
      </c>
      <c r="G18" s="124">
        <f t="shared" si="5"/>
        <v>140</v>
      </c>
      <c r="H18" s="135">
        <f t="shared" si="5"/>
        <v>165</v>
      </c>
      <c r="I18" s="124">
        <f t="shared" si="5"/>
        <v>720</v>
      </c>
      <c r="J18" s="124">
        <f t="shared" si="5"/>
        <v>885</v>
      </c>
    </row>
    <row r="19" spans="1:10" ht="12" customHeight="1">
      <c r="A19" s="118" t="s">
        <v>26</v>
      </c>
      <c r="B19" s="135">
        <f aca="true" t="shared" si="6" ref="B19:J19">SUM(B42,B58,B74,B90)</f>
        <v>135</v>
      </c>
      <c r="C19" s="124">
        <f t="shared" si="6"/>
        <v>711</v>
      </c>
      <c r="D19" s="124">
        <f t="shared" si="6"/>
        <v>846</v>
      </c>
      <c r="E19" s="135">
        <f t="shared" si="6"/>
        <v>22</v>
      </c>
      <c r="F19" s="124">
        <f t="shared" si="6"/>
        <v>88</v>
      </c>
      <c r="G19" s="124">
        <f t="shared" si="6"/>
        <v>110</v>
      </c>
      <c r="H19" s="135">
        <f t="shared" si="6"/>
        <v>157</v>
      </c>
      <c r="I19" s="124">
        <f t="shared" si="6"/>
        <v>799</v>
      </c>
      <c r="J19" s="124">
        <f t="shared" si="6"/>
        <v>956</v>
      </c>
    </row>
    <row r="20" spans="1:10" ht="12" customHeight="1">
      <c r="A20" s="118" t="s">
        <v>27</v>
      </c>
      <c r="B20" s="135">
        <f aca="true" t="shared" si="7" ref="B20:J20">SUM(B43,B59,B75,B91)</f>
        <v>245</v>
      </c>
      <c r="C20" s="124">
        <f t="shared" si="7"/>
        <v>850</v>
      </c>
      <c r="D20" s="124">
        <f t="shared" si="7"/>
        <v>1095</v>
      </c>
      <c r="E20" s="135">
        <f t="shared" si="7"/>
        <v>8</v>
      </c>
      <c r="F20" s="124">
        <f t="shared" si="7"/>
        <v>44</v>
      </c>
      <c r="G20" s="124">
        <f t="shared" si="7"/>
        <v>52</v>
      </c>
      <c r="H20" s="135">
        <f t="shared" si="7"/>
        <v>253</v>
      </c>
      <c r="I20" s="124">
        <f t="shared" si="7"/>
        <v>894</v>
      </c>
      <c r="J20" s="124">
        <f t="shared" si="7"/>
        <v>1147</v>
      </c>
    </row>
    <row r="21" spans="1:10" ht="12" customHeight="1">
      <c r="A21" s="118" t="s">
        <v>28</v>
      </c>
      <c r="B21" s="135">
        <f aca="true" t="shared" si="8" ref="B21:J21">SUM(B44,B60,B76,B92)</f>
        <v>159</v>
      </c>
      <c r="C21" s="124">
        <f t="shared" si="8"/>
        <v>382</v>
      </c>
      <c r="D21" s="136">
        <f t="shared" si="8"/>
        <v>541</v>
      </c>
      <c r="E21" s="135">
        <f t="shared" si="8"/>
        <v>11</v>
      </c>
      <c r="F21" s="124">
        <f t="shared" si="8"/>
        <v>11</v>
      </c>
      <c r="G21" s="136">
        <f t="shared" si="8"/>
        <v>22</v>
      </c>
      <c r="H21" s="135">
        <f t="shared" si="8"/>
        <v>170</v>
      </c>
      <c r="I21" s="124">
        <f t="shared" si="8"/>
        <v>393</v>
      </c>
      <c r="J21" s="136">
        <f t="shared" si="8"/>
        <v>563</v>
      </c>
    </row>
    <row r="22" spans="1:10" ht="12" customHeight="1">
      <c r="A22" s="137" t="s">
        <v>5</v>
      </c>
      <c r="B22" s="138">
        <f aca="true" t="shared" si="9" ref="B22:J22">SUM(B45,B61,B77,B93)</f>
        <v>1254</v>
      </c>
      <c r="C22" s="139">
        <f t="shared" si="9"/>
        <v>3850</v>
      </c>
      <c r="D22" s="139">
        <f t="shared" si="9"/>
        <v>5104</v>
      </c>
      <c r="E22" s="138">
        <f t="shared" si="9"/>
        <v>627</v>
      </c>
      <c r="F22" s="139">
        <f t="shared" si="9"/>
        <v>1346</v>
      </c>
      <c r="G22" s="139">
        <f t="shared" si="9"/>
        <v>1973</v>
      </c>
      <c r="H22" s="138">
        <f t="shared" si="9"/>
        <v>1881</v>
      </c>
      <c r="I22" s="139">
        <f t="shared" si="9"/>
        <v>5196</v>
      </c>
      <c r="J22" s="139">
        <f t="shared" si="9"/>
        <v>7077</v>
      </c>
    </row>
    <row r="24" spans="1:10" ht="12" customHeight="1">
      <c r="A24" s="1" t="s">
        <v>60</v>
      </c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12" customHeight="1">
      <c r="A25" s="120" t="s">
        <v>30</v>
      </c>
      <c r="B25" s="121"/>
      <c r="C25" s="121"/>
      <c r="D25" s="121"/>
      <c r="E25" s="122"/>
      <c r="F25" s="122"/>
      <c r="G25" s="121"/>
      <c r="H25" s="121"/>
      <c r="I25" s="121"/>
      <c r="J25" s="121"/>
    </row>
    <row r="26" spans="1:10" ht="12" customHeight="1">
      <c r="A26" s="121"/>
      <c r="B26" s="121"/>
      <c r="C26" s="121"/>
      <c r="D26" s="121"/>
      <c r="E26" s="122"/>
      <c r="F26" s="120"/>
      <c r="G26" s="121"/>
      <c r="H26" s="121"/>
      <c r="I26" s="121"/>
      <c r="J26" s="121"/>
    </row>
    <row r="27" spans="1:10" ht="12" customHeight="1">
      <c r="A27" s="120" t="s">
        <v>65</v>
      </c>
      <c r="B27" s="121"/>
      <c r="C27" s="121"/>
      <c r="D27" s="121"/>
      <c r="E27" s="122"/>
      <c r="F27" s="122"/>
      <c r="G27" s="121"/>
      <c r="H27" s="121"/>
      <c r="I27" s="121"/>
      <c r="J27" s="121"/>
    </row>
    <row r="28" spans="1:10" ht="12" customHeight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12" customHeight="1">
      <c r="A29" s="120" t="s">
        <v>18</v>
      </c>
      <c r="B29" s="125"/>
      <c r="C29" s="125"/>
      <c r="D29" s="125"/>
      <c r="E29" s="125"/>
      <c r="F29" s="126"/>
      <c r="G29" s="125"/>
      <c r="H29" s="125"/>
      <c r="I29" s="125"/>
      <c r="J29" s="125"/>
    </row>
    <row r="30" spans="1:10" ht="12" customHeight="1">
      <c r="A30" s="120"/>
      <c r="B30" s="125"/>
      <c r="C30" s="125"/>
      <c r="D30" s="125"/>
      <c r="E30" s="125"/>
      <c r="F30" s="126"/>
      <c r="G30" s="125"/>
      <c r="H30" s="125"/>
      <c r="I30" s="125"/>
      <c r="J30" s="125"/>
    </row>
    <row r="31" spans="1:10" ht="12" customHeight="1">
      <c r="A31" s="120" t="s">
        <v>31</v>
      </c>
      <c r="B31" s="125"/>
      <c r="C31" s="125"/>
      <c r="D31" s="125"/>
      <c r="E31" s="125"/>
      <c r="F31" s="126"/>
      <c r="G31" s="125"/>
      <c r="H31" s="125"/>
      <c r="I31" s="125"/>
      <c r="J31" s="125"/>
    </row>
    <row r="32" spans="1:10" ht="12" customHeight="1" thickBot="1">
      <c r="A32" s="118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ht="12" customHeight="1">
      <c r="A33" s="127"/>
      <c r="B33" s="128" t="s">
        <v>3</v>
      </c>
      <c r="C33" s="129"/>
      <c r="D33" s="129"/>
      <c r="E33" s="128" t="s">
        <v>4</v>
      </c>
      <c r="F33" s="129"/>
      <c r="G33" s="129"/>
      <c r="H33" s="128" t="s">
        <v>5</v>
      </c>
      <c r="I33" s="129"/>
      <c r="J33" s="129"/>
    </row>
    <row r="34" spans="1:10" ht="12" customHeight="1">
      <c r="A34" s="185" t="s">
        <v>19</v>
      </c>
      <c r="B34" s="130" t="s">
        <v>6</v>
      </c>
      <c r="C34" s="131" t="s">
        <v>7</v>
      </c>
      <c r="D34" s="131" t="s">
        <v>5</v>
      </c>
      <c r="E34" s="130" t="s">
        <v>6</v>
      </c>
      <c r="F34" s="131" t="s">
        <v>7</v>
      </c>
      <c r="G34" s="131" t="s">
        <v>5</v>
      </c>
      <c r="H34" s="130" t="s">
        <v>6</v>
      </c>
      <c r="I34" s="131" t="s">
        <v>7</v>
      </c>
      <c r="J34" s="131" t="s">
        <v>5</v>
      </c>
    </row>
    <row r="35" spans="1:10" ht="12" customHeight="1">
      <c r="A35" s="132"/>
      <c r="B35" s="133"/>
      <c r="C35" s="134"/>
      <c r="D35" s="134"/>
      <c r="E35" s="133"/>
      <c r="F35" s="134"/>
      <c r="G35" s="134"/>
      <c r="H35" s="133"/>
      <c r="I35" s="134"/>
      <c r="J35" s="134"/>
    </row>
    <row r="36" spans="1:10" ht="12" customHeight="1">
      <c r="A36" s="118" t="s">
        <v>20</v>
      </c>
      <c r="B36" s="135">
        <v>0</v>
      </c>
      <c r="C36" s="124">
        <v>0</v>
      </c>
      <c r="D36" s="124">
        <f>SUM(B36:C36)</f>
        <v>0</v>
      </c>
      <c r="E36" s="135">
        <v>46</v>
      </c>
      <c r="F36" s="124">
        <v>44</v>
      </c>
      <c r="G36" s="124">
        <f aca="true" t="shared" si="10" ref="G36:G44">SUM(E36:F36)</f>
        <v>90</v>
      </c>
      <c r="H36" s="135">
        <f>SUM(B36,E36)</f>
        <v>46</v>
      </c>
      <c r="I36" s="124">
        <f>SUM(C36,F36)</f>
        <v>44</v>
      </c>
      <c r="J36" s="124">
        <f aca="true" t="shared" si="11" ref="J36:J44">SUM(H36:I36)</f>
        <v>90</v>
      </c>
    </row>
    <row r="37" spans="1:10" ht="12" customHeight="1">
      <c r="A37" s="118" t="s">
        <v>21</v>
      </c>
      <c r="B37" s="135">
        <v>11</v>
      </c>
      <c r="C37" s="124">
        <v>15</v>
      </c>
      <c r="D37" s="124">
        <f aca="true" t="shared" si="12" ref="D37:D44">SUM(B37:C37)</f>
        <v>26</v>
      </c>
      <c r="E37" s="135">
        <v>35</v>
      </c>
      <c r="F37" s="124">
        <v>96</v>
      </c>
      <c r="G37" s="124">
        <f t="shared" si="10"/>
        <v>131</v>
      </c>
      <c r="H37" s="135">
        <f aca="true" t="shared" si="13" ref="H37:I44">SUM(B37,E37)</f>
        <v>46</v>
      </c>
      <c r="I37" s="124">
        <f t="shared" si="13"/>
        <v>111</v>
      </c>
      <c r="J37" s="124">
        <f t="shared" si="11"/>
        <v>157</v>
      </c>
    </row>
    <row r="38" spans="1:10" ht="12" customHeight="1">
      <c r="A38" s="118" t="s">
        <v>22</v>
      </c>
      <c r="B38" s="135">
        <v>20</v>
      </c>
      <c r="C38" s="124">
        <v>77</v>
      </c>
      <c r="D38" s="124">
        <f t="shared" si="12"/>
        <v>97</v>
      </c>
      <c r="E38" s="135">
        <v>30</v>
      </c>
      <c r="F38" s="124">
        <v>46</v>
      </c>
      <c r="G38" s="124">
        <f t="shared" si="10"/>
        <v>76</v>
      </c>
      <c r="H38" s="135">
        <f t="shared" si="13"/>
        <v>50</v>
      </c>
      <c r="I38" s="124">
        <f t="shared" si="13"/>
        <v>123</v>
      </c>
      <c r="J38" s="124">
        <f t="shared" si="11"/>
        <v>173</v>
      </c>
    </row>
    <row r="39" spans="1:10" ht="12" customHeight="1">
      <c r="A39" s="118" t="s">
        <v>23</v>
      </c>
      <c r="B39" s="133">
        <v>51</v>
      </c>
      <c r="C39" s="124">
        <v>115</v>
      </c>
      <c r="D39" s="124">
        <f t="shared" si="12"/>
        <v>166</v>
      </c>
      <c r="E39" s="135">
        <v>21</v>
      </c>
      <c r="F39" s="124">
        <v>69</v>
      </c>
      <c r="G39" s="124">
        <f t="shared" si="10"/>
        <v>90</v>
      </c>
      <c r="H39" s="135">
        <f t="shared" si="13"/>
        <v>72</v>
      </c>
      <c r="I39" s="124">
        <f t="shared" si="13"/>
        <v>184</v>
      </c>
      <c r="J39" s="124">
        <f t="shared" si="11"/>
        <v>256</v>
      </c>
    </row>
    <row r="40" spans="1:10" ht="12" customHeight="1">
      <c r="A40" s="118" t="s">
        <v>24</v>
      </c>
      <c r="B40" s="133">
        <v>31</v>
      </c>
      <c r="C40" s="124">
        <v>116</v>
      </c>
      <c r="D40" s="124">
        <f t="shared" si="12"/>
        <v>147</v>
      </c>
      <c r="E40" s="135">
        <v>13</v>
      </c>
      <c r="F40" s="124">
        <v>38</v>
      </c>
      <c r="G40" s="124">
        <f t="shared" si="10"/>
        <v>51</v>
      </c>
      <c r="H40" s="135">
        <f t="shared" si="13"/>
        <v>44</v>
      </c>
      <c r="I40" s="124">
        <f t="shared" si="13"/>
        <v>154</v>
      </c>
      <c r="J40" s="124">
        <f t="shared" si="11"/>
        <v>198</v>
      </c>
    </row>
    <row r="41" spans="1:10" ht="12" customHeight="1">
      <c r="A41" s="118" t="s">
        <v>25</v>
      </c>
      <c r="B41" s="133">
        <v>32</v>
      </c>
      <c r="C41" s="124">
        <v>147</v>
      </c>
      <c r="D41" s="124">
        <f t="shared" si="12"/>
        <v>179</v>
      </c>
      <c r="E41" s="135">
        <v>12</v>
      </c>
      <c r="F41" s="124">
        <v>23</v>
      </c>
      <c r="G41" s="124">
        <f t="shared" si="10"/>
        <v>35</v>
      </c>
      <c r="H41" s="135">
        <f t="shared" si="13"/>
        <v>44</v>
      </c>
      <c r="I41" s="124">
        <f t="shared" si="13"/>
        <v>170</v>
      </c>
      <c r="J41" s="124">
        <f t="shared" si="11"/>
        <v>214</v>
      </c>
    </row>
    <row r="42" spans="1:10" ht="12" customHeight="1">
      <c r="A42" s="118" t="s">
        <v>26</v>
      </c>
      <c r="B42" s="133">
        <v>25</v>
      </c>
      <c r="C42" s="124">
        <v>145</v>
      </c>
      <c r="D42" s="124">
        <f t="shared" si="12"/>
        <v>170</v>
      </c>
      <c r="E42" s="135">
        <v>5</v>
      </c>
      <c r="F42" s="124">
        <v>24</v>
      </c>
      <c r="G42" s="124">
        <f t="shared" si="10"/>
        <v>29</v>
      </c>
      <c r="H42" s="135">
        <f t="shared" si="13"/>
        <v>30</v>
      </c>
      <c r="I42" s="124">
        <f t="shared" si="13"/>
        <v>169</v>
      </c>
      <c r="J42" s="124">
        <f t="shared" si="11"/>
        <v>199</v>
      </c>
    </row>
    <row r="43" spans="1:10" ht="12" customHeight="1">
      <c r="A43" s="118" t="s">
        <v>27</v>
      </c>
      <c r="B43" s="133">
        <v>35</v>
      </c>
      <c r="C43" s="124">
        <v>179</v>
      </c>
      <c r="D43" s="124">
        <f t="shared" si="12"/>
        <v>214</v>
      </c>
      <c r="E43" s="135">
        <v>4</v>
      </c>
      <c r="F43" s="124">
        <v>20</v>
      </c>
      <c r="G43" s="124">
        <f t="shared" si="10"/>
        <v>24</v>
      </c>
      <c r="H43" s="135">
        <f t="shared" si="13"/>
        <v>39</v>
      </c>
      <c r="I43" s="124">
        <f t="shared" si="13"/>
        <v>199</v>
      </c>
      <c r="J43" s="124">
        <f t="shared" si="11"/>
        <v>238</v>
      </c>
    </row>
    <row r="44" spans="1:10" ht="12" customHeight="1">
      <c r="A44" s="118" t="s">
        <v>28</v>
      </c>
      <c r="B44" s="133">
        <v>25</v>
      </c>
      <c r="C44" s="124">
        <v>83</v>
      </c>
      <c r="D44" s="136">
        <f t="shared" si="12"/>
        <v>108</v>
      </c>
      <c r="E44" s="135">
        <v>4</v>
      </c>
      <c r="F44" s="124">
        <v>4</v>
      </c>
      <c r="G44" s="136">
        <f t="shared" si="10"/>
        <v>8</v>
      </c>
      <c r="H44" s="135">
        <f t="shared" si="13"/>
        <v>29</v>
      </c>
      <c r="I44" s="124">
        <f t="shared" si="13"/>
        <v>87</v>
      </c>
      <c r="J44" s="136">
        <f t="shared" si="11"/>
        <v>116</v>
      </c>
    </row>
    <row r="45" spans="1:10" ht="12" customHeight="1">
      <c r="A45" s="137" t="s">
        <v>5</v>
      </c>
      <c r="B45" s="138">
        <f>SUM(B36:B44)</f>
        <v>230</v>
      </c>
      <c r="C45" s="139">
        <f aca="true" t="shared" si="14" ref="C45:J45">SUM(C36:C44)</f>
        <v>877</v>
      </c>
      <c r="D45" s="139">
        <f t="shared" si="14"/>
        <v>1107</v>
      </c>
      <c r="E45" s="138">
        <f t="shared" si="14"/>
        <v>170</v>
      </c>
      <c r="F45" s="139">
        <f t="shared" si="14"/>
        <v>364</v>
      </c>
      <c r="G45" s="139">
        <f t="shared" si="14"/>
        <v>534</v>
      </c>
      <c r="H45" s="138">
        <f t="shared" si="14"/>
        <v>400</v>
      </c>
      <c r="I45" s="139">
        <f t="shared" si="14"/>
        <v>1241</v>
      </c>
      <c r="J45" s="139">
        <f t="shared" si="14"/>
        <v>1641</v>
      </c>
    </row>
    <row r="47" spans="1:10" ht="12" customHeight="1">
      <c r="A47" s="120" t="s">
        <v>9</v>
      </c>
      <c r="B47" s="125"/>
      <c r="C47" s="125"/>
      <c r="D47" s="125"/>
      <c r="E47" s="125"/>
      <c r="F47" s="126"/>
      <c r="G47" s="125"/>
      <c r="H47" s="125"/>
      <c r="I47" s="125"/>
      <c r="J47" s="125"/>
    </row>
    <row r="48" spans="1:10" ht="12" customHeight="1" thickBot="1">
      <c r="A48" s="118"/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ht="12" customHeight="1">
      <c r="A49" s="127"/>
      <c r="B49" s="128" t="s">
        <v>3</v>
      </c>
      <c r="C49" s="129"/>
      <c r="D49" s="129"/>
      <c r="E49" s="128" t="s">
        <v>4</v>
      </c>
      <c r="F49" s="129"/>
      <c r="G49" s="129"/>
      <c r="H49" s="128" t="s">
        <v>5</v>
      </c>
      <c r="I49" s="129"/>
      <c r="J49" s="129"/>
    </row>
    <row r="50" spans="1:10" ht="12" customHeight="1">
      <c r="A50" s="185" t="s">
        <v>19</v>
      </c>
      <c r="B50" s="130" t="s">
        <v>6</v>
      </c>
      <c r="C50" s="131" t="s">
        <v>7</v>
      </c>
      <c r="D50" s="131" t="s">
        <v>5</v>
      </c>
      <c r="E50" s="130" t="s">
        <v>6</v>
      </c>
      <c r="F50" s="131" t="s">
        <v>7</v>
      </c>
      <c r="G50" s="131" t="s">
        <v>5</v>
      </c>
      <c r="H50" s="130" t="s">
        <v>6</v>
      </c>
      <c r="I50" s="131" t="s">
        <v>7</v>
      </c>
      <c r="J50" s="131" t="s">
        <v>5</v>
      </c>
    </row>
    <row r="51" spans="1:10" ht="12" customHeight="1">
      <c r="A51" s="132"/>
      <c r="B51" s="133"/>
      <c r="C51" s="134"/>
      <c r="D51" s="134"/>
      <c r="E51" s="133"/>
      <c r="F51" s="134"/>
      <c r="G51" s="134"/>
      <c r="H51" s="133"/>
      <c r="I51" s="134"/>
      <c r="J51" s="134"/>
    </row>
    <row r="52" spans="1:10" ht="12" customHeight="1">
      <c r="A52" s="118" t="s">
        <v>20</v>
      </c>
      <c r="B52" s="135">
        <v>0</v>
      </c>
      <c r="C52" s="124">
        <v>0</v>
      </c>
      <c r="D52" s="124">
        <f>SUM(B52:C52)</f>
        <v>0</v>
      </c>
      <c r="E52" s="135">
        <f>80-0</f>
        <v>80</v>
      </c>
      <c r="F52" s="124">
        <f>95-0</f>
        <v>95</v>
      </c>
      <c r="G52" s="124">
        <f aca="true" t="shared" si="15" ref="G52:G60">SUM(E52:F52)</f>
        <v>175</v>
      </c>
      <c r="H52" s="135">
        <f>SUM(B52,E52)</f>
        <v>80</v>
      </c>
      <c r="I52" s="124">
        <f>SUM(C52,F52)</f>
        <v>95</v>
      </c>
      <c r="J52" s="124">
        <f aca="true" t="shared" si="16" ref="J52:J60">SUM(H52:I52)</f>
        <v>175</v>
      </c>
    </row>
    <row r="53" spans="1:10" ht="12" customHeight="1">
      <c r="A53" s="118" t="s">
        <v>21</v>
      </c>
      <c r="B53" s="135">
        <f>21-0</f>
        <v>21</v>
      </c>
      <c r="C53" s="124">
        <f>29-0</f>
        <v>29</v>
      </c>
      <c r="D53" s="124">
        <f aca="true" t="shared" si="17" ref="D53:D60">SUM(B53:C53)</f>
        <v>50</v>
      </c>
      <c r="E53" s="135">
        <f>136-0</f>
        <v>136</v>
      </c>
      <c r="F53" s="124">
        <f>202-1</f>
        <v>201</v>
      </c>
      <c r="G53" s="124">
        <f t="shared" si="15"/>
        <v>337</v>
      </c>
      <c r="H53" s="135">
        <f aca="true" t="shared" si="18" ref="H53:I60">SUM(B53,E53)</f>
        <v>157</v>
      </c>
      <c r="I53" s="124">
        <f t="shared" si="18"/>
        <v>230</v>
      </c>
      <c r="J53" s="124">
        <f t="shared" si="16"/>
        <v>387</v>
      </c>
    </row>
    <row r="54" spans="1:10" ht="12" customHeight="1">
      <c r="A54" s="118" t="s">
        <v>22</v>
      </c>
      <c r="B54" s="135">
        <f>103-0</f>
        <v>103</v>
      </c>
      <c r="C54" s="124">
        <f>191-0</f>
        <v>191</v>
      </c>
      <c r="D54" s="124">
        <f t="shared" si="17"/>
        <v>294</v>
      </c>
      <c r="E54" s="135">
        <f>73-0</f>
        <v>73</v>
      </c>
      <c r="F54" s="124">
        <f>168-0</f>
        <v>168</v>
      </c>
      <c r="G54" s="124">
        <f t="shared" si="15"/>
        <v>241</v>
      </c>
      <c r="H54" s="135">
        <f t="shared" si="18"/>
        <v>176</v>
      </c>
      <c r="I54" s="124">
        <f t="shared" si="18"/>
        <v>359</v>
      </c>
      <c r="J54" s="124">
        <f t="shared" si="16"/>
        <v>535</v>
      </c>
    </row>
    <row r="55" spans="1:10" ht="12" customHeight="1">
      <c r="A55" s="118" t="s">
        <v>23</v>
      </c>
      <c r="B55" s="133">
        <f>170-0</f>
        <v>170</v>
      </c>
      <c r="C55" s="124">
        <f>324-2</f>
        <v>322</v>
      </c>
      <c r="D55" s="124">
        <f t="shared" si="17"/>
        <v>492</v>
      </c>
      <c r="E55" s="135">
        <f>42-0</f>
        <v>42</v>
      </c>
      <c r="F55" s="124">
        <f>138-0</f>
        <v>138</v>
      </c>
      <c r="G55" s="124">
        <f t="shared" si="15"/>
        <v>180</v>
      </c>
      <c r="H55" s="135">
        <f t="shared" si="18"/>
        <v>212</v>
      </c>
      <c r="I55" s="124">
        <f t="shared" si="18"/>
        <v>460</v>
      </c>
      <c r="J55" s="124">
        <f t="shared" si="16"/>
        <v>672</v>
      </c>
    </row>
    <row r="56" spans="1:10" ht="12" customHeight="1">
      <c r="A56" s="118" t="s">
        <v>24</v>
      </c>
      <c r="B56" s="133">
        <f>125-1</f>
        <v>124</v>
      </c>
      <c r="C56" s="124">
        <f>322-2</f>
        <v>320</v>
      </c>
      <c r="D56" s="124">
        <f t="shared" si="17"/>
        <v>444</v>
      </c>
      <c r="E56" s="135">
        <f>16-0</f>
        <v>16</v>
      </c>
      <c r="F56" s="124">
        <f>89-2</f>
        <v>87</v>
      </c>
      <c r="G56" s="124">
        <f t="shared" si="15"/>
        <v>103</v>
      </c>
      <c r="H56" s="135">
        <f t="shared" si="18"/>
        <v>140</v>
      </c>
      <c r="I56" s="124">
        <f t="shared" si="18"/>
        <v>407</v>
      </c>
      <c r="J56" s="124">
        <f t="shared" si="16"/>
        <v>547</v>
      </c>
    </row>
    <row r="57" spans="1:10" ht="12" customHeight="1">
      <c r="A57" s="118" t="s">
        <v>25</v>
      </c>
      <c r="B57" s="133">
        <f>96-1</f>
        <v>95</v>
      </c>
      <c r="C57" s="124">
        <f>412-6</f>
        <v>406</v>
      </c>
      <c r="D57" s="124">
        <f t="shared" si="17"/>
        <v>501</v>
      </c>
      <c r="E57" s="135">
        <f>14-0</f>
        <v>14</v>
      </c>
      <c r="F57" s="124">
        <f>80-0</f>
        <v>80</v>
      </c>
      <c r="G57" s="124">
        <f t="shared" si="15"/>
        <v>94</v>
      </c>
      <c r="H57" s="135">
        <f t="shared" si="18"/>
        <v>109</v>
      </c>
      <c r="I57" s="124">
        <f t="shared" si="18"/>
        <v>486</v>
      </c>
      <c r="J57" s="124">
        <f t="shared" si="16"/>
        <v>595</v>
      </c>
    </row>
    <row r="58" spans="1:10" ht="12" customHeight="1">
      <c r="A58" s="118" t="s">
        <v>26</v>
      </c>
      <c r="B58" s="133">
        <f>99-1</f>
        <v>98</v>
      </c>
      <c r="C58" s="124">
        <f>498-1</f>
        <v>497</v>
      </c>
      <c r="D58" s="124">
        <f t="shared" si="17"/>
        <v>595</v>
      </c>
      <c r="E58" s="135">
        <f>15-0</f>
        <v>15</v>
      </c>
      <c r="F58" s="124">
        <f>54-0</f>
        <v>54</v>
      </c>
      <c r="G58" s="124">
        <f t="shared" si="15"/>
        <v>69</v>
      </c>
      <c r="H58" s="135">
        <f t="shared" si="18"/>
        <v>113</v>
      </c>
      <c r="I58" s="124">
        <f t="shared" si="18"/>
        <v>551</v>
      </c>
      <c r="J58" s="124">
        <f t="shared" si="16"/>
        <v>664</v>
      </c>
    </row>
    <row r="59" spans="1:10" ht="12" customHeight="1">
      <c r="A59" s="118" t="s">
        <v>27</v>
      </c>
      <c r="B59" s="133">
        <f>198-0</f>
        <v>198</v>
      </c>
      <c r="C59" s="124">
        <f>603-4</f>
        <v>599</v>
      </c>
      <c r="D59" s="124">
        <f t="shared" si="17"/>
        <v>797</v>
      </c>
      <c r="E59" s="135">
        <f>3-0</f>
        <v>3</v>
      </c>
      <c r="F59" s="124">
        <f>19-0</f>
        <v>19</v>
      </c>
      <c r="G59" s="124">
        <f t="shared" si="15"/>
        <v>22</v>
      </c>
      <c r="H59" s="135">
        <f t="shared" si="18"/>
        <v>201</v>
      </c>
      <c r="I59" s="124">
        <f t="shared" si="18"/>
        <v>618</v>
      </c>
      <c r="J59" s="124">
        <f t="shared" si="16"/>
        <v>819</v>
      </c>
    </row>
    <row r="60" spans="1:10" ht="12" customHeight="1">
      <c r="A60" s="118" t="s">
        <v>28</v>
      </c>
      <c r="B60" s="133">
        <f>118-0</f>
        <v>118</v>
      </c>
      <c r="C60" s="124">
        <f>279-1</f>
        <v>278</v>
      </c>
      <c r="D60" s="136">
        <f t="shared" si="17"/>
        <v>396</v>
      </c>
      <c r="E60" s="135">
        <f>7-0</f>
        <v>7</v>
      </c>
      <c r="F60" s="124">
        <f>5-0</f>
        <v>5</v>
      </c>
      <c r="G60" s="136">
        <f t="shared" si="15"/>
        <v>12</v>
      </c>
      <c r="H60" s="135">
        <f t="shared" si="18"/>
        <v>125</v>
      </c>
      <c r="I60" s="124">
        <f t="shared" si="18"/>
        <v>283</v>
      </c>
      <c r="J60" s="136">
        <f t="shared" si="16"/>
        <v>408</v>
      </c>
    </row>
    <row r="61" spans="1:10" ht="12" customHeight="1">
      <c r="A61" s="137" t="s">
        <v>5</v>
      </c>
      <c r="B61" s="138">
        <f>SUM(B52:B60)</f>
        <v>927</v>
      </c>
      <c r="C61" s="139">
        <f aca="true" t="shared" si="19" ref="C61:J61">SUM(C52:C60)</f>
        <v>2642</v>
      </c>
      <c r="D61" s="139">
        <f t="shared" si="19"/>
        <v>3569</v>
      </c>
      <c r="E61" s="138">
        <f t="shared" si="19"/>
        <v>386</v>
      </c>
      <c r="F61" s="139">
        <f t="shared" si="19"/>
        <v>847</v>
      </c>
      <c r="G61" s="139">
        <f t="shared" si="19"/>
        <v>1233</v>
      </c>
      <c r="H61" s="138">
        <f t="shared" si="19"/>
        <v>1313</v>
      </c>
      <c r="I61" s="139">
        <f t="shared" si="19"/>
        <v>3489</v>
      </c>
      <c r="J61" s="139">
        <f t="shared" si="19"/>
        <v>4802</v>
      </c>
    </row>
    <row r="63" spans="1:10" ht="12" customHeight="1">
      <c r="A63" s="120" t="s">
        <v>10</v>
      </c>
      <c r="B63" s="125"/>
      <c r="C63" s="125"/>
      <c r="D63" s="125"/>
      <c r="E63" s="125"/>
      <c r="F63" s="126"/>
      <c r="G63" s="125"/>
      <c r="H63" s="125"/>
      <c r="I63" s="125"/>
      <c r="J63" s="125"/>
    </row>
    <row r="64" spans="1:10" ht="12" customHeight="1" thickBot="1">
      <c r="A64" s="118"/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10" ht="12" customHeight="1">
      <c r="A65" s="127"/>
      <c r="B65" s="128" t="s">
        <v>3</v>
      </c>
      <c r="C65" s="129"/>
      <c r="D65" s="129"/>
      <c r="E65" s="128" t="s">
        <v>4</v>
      </c>
      <c r="F65" s="129"/>
      <c r="G65" s="129"/>
      <c r="H65" s="128" t="s">
        <v>5</v>
      </c>
      <c r="I65" s="129"/>
      <c r="J65" s="129"/>
    </row>
    <row r="66" spans="1:10" ht="12" customHeight="1">
      <c r="A66" s="185" t="s">
        <v>19</v>
      </c>
      <c r="B66" s="130" t="s">
        <v>6</v>
      </c>
      <c r="C66" s="131" t="s">
        <v>7</v>
      </c>
      <c r="D66" s="131" t="s">
        <v>5</v>
      </c>
      <c r="E66" s="130" t="s">
        <v>6</v>
      </c>
      <c r="F66" s="131" t="s">
        <v>7</v>
      </c>
      <c r="G66" s="131" t="s">
        <v>5</v>
      </c>
      <c r="H66" s="130" t="s">
        <v>6</v>
      </c>
      <c r="I66" s="131" t="s">
        <v>7</v>
      </c>
      <c r="J66" s="131" t="s">
        <v>5</v>
      </c>
    </row>
    <row r="67" spans="1:10" ht="12" customHeight="1">
      <c r="A67" s="132"/>
      <c r="B67" s="133"/>
      <c r="C67" s="134"/>
      <c r="D67" s="134"/>
      <c r="E67" s="133"/>
      <c r="F67" s="134"/>
      <c r="G67" s="134"/>
      <c r="H67" s="133"/>
      <c r="I67" s="134"/>
      <c r="J67" s="134"/>
    </row>
    <row r="68" spans="1:10" ht="12" customHeight="1">
      <c r="A68" s="118" t="s">
        <v>20</v>
      </c>
      <c r="B68" s="135">
        <v>0</v>
      </c>
      <c r="C68" s="124">
        <v>0</v>
      </c>
      <c r="D68" s="124">
        <f>SUM(B68:C68)</f>
        <v>0</v>
      </c>
      <c r="E68" s="135">
        <v>7</v>
      </c>
      <c r="F68" s="124">
        <v>6</v>
      </c>
      <c r="G68" s="124">
        <f aca="true" t="shared" si="20" ref="G68:G76">SUM(E68:F68)</f>
        <v>13</v>
      </c>
      <c r="H68" s="135">
        <f>SUM(B68,E68)</f>
        <v>7</v>
      </c>
      <c r="I68" s="124">
        <f>SUM(C68,F68)</f>
        <v>6</v>
      </c>
      <c r="J68" s="124">
        <f aca="true" t="shared" si="21" ref="J68:J76">SUM(H68:I68)</f>
        <v>13</v>
      </c>
    </row>
    <row r="69" spans="1:10" ht="12" customHeight="1">
      <c r="A69" s="118" t="s">
        <v>21</v>
      </c>
      <c r="B69" s="135">
        <v>1</v>
      </c>
      <c r="C69" s="124">
        <v>1</v>
      </c>
      <c r="D69" s="124">
        <f aca="true" t="shared" si="22" ref="D69:D76">SUM(B69:C69)</f>
        <v>2</v>
      </c>
      <c r="E69" s="135">
        <v>5</v>
      </c>
      <c r="F69" s="124">
        <v>11</v>
      </c>
      <c r="G69" s="124">
        <f t="shared" si="20"/>
        <v>16</v>
      </c>
      <c r="H69" s="135">
        <f aca="true" t="shared" si="23" ref="H69:I76">SUM(B69,E69)</f>
        <v>6</v>
      </c>
      <c r="I69" s="124">
        <f t="shared" si="23"/>
        <v>12</v>
      </c>
      <c r="J69" s="124">
        <f t="shared" si="21"/>
        <v>18</v>
      </c>
    </row>
    <row r="70" spans="1:10" ht="12" customHeight="1">
      <c r="A70" s="118" t="s">
        <v>22</v>
      </c>
      <c r="B70" s="135">
        <v>5</v>
      </c>
      <c r="C70" s="124">
        <v>7</v>
      </c>
      <c r="D70" s="124">
        <f t="shared" si="22"/>
        <v>12</v>
      </c>
      <c r="E70" s="135">
        <v>8</v>
      </c>
      <c r="F70" s="124">
        <v>8</v>
      </c>
      <c r="G70" s="124">
        <f t="shared" si="20"/>
        <v>16</v>
      </c>
      <c r="H70" s="135">
        <f t="shared" si="23"/>
        <v>13</v>
      </c>
      <c r="I70" s="124">
        <f t="shared" si="23"/>
        <v>15</v>
      </c>
      <c r="J70" s="124">
        <f t="shared" si="21"/>
        <v>28</v>
      </c>
    </row>
    <row r="71" spans="1:10" ht="12" customHeight="1">
      <c r="A71" s="118" t="s">
        <v>23</v>
      </c>
      <c r="B71" s="133">
        <v>10</v>
      </c>
      <c r="C71" s="124">
        <v>17</v>
      </c>
      <c r="D71" s="124">
        <f t="shared" si="22"/>
        <v>27</v>
      </c>
      <c r="E71" s="135">
        <v>1</v>
      </c>
      <c r="F71" s="124">
        <v>8</v>
      </c>
      <c r="G71" s="124">
        <f t="shared" si="20"/>
        <v>9</v>
      </c>
      <c r="H71" s="135">
        <f t="shared" si="23"/>
        <v>11</v>
      </c>
      <c r="I71" s="124">
        <f t="shared" si="23"/>
        <v>25</v>
      </c>
      <c r="J71" s="124">
        <f t="shared" si="21"/>
        <v>36</v>
      </c>
    </row>
    <row r="72" spans="1:10" ht="12" customHeight="1">
      <c r="A72" s="118" t="s">
        <v>24</v>
      </c>
      <c r="B72" s="133">
        <v>8</v>
      </c>
      <c r="C72" s="124">
        <v>22</v>
      </c>
      <c r="D72" s="124">
        <f t="shared" si="22"/>
        <v>30</v>
      </c>
      <c r="E72" s="135">
        <v>1</v>
      </c>
      <c r="F72" s="124">
        <v>3</v>
      </c>
      <c r="G72" s="124">
        <f t="shared" si="20"/>
        <v>4</v>
      </c>
      <c r="H72" s="135">
        <f t="shared" si="23"/>
        <v>9</v>
      </c>
      <c r="I72" s="124">
        <f t="shared" si="23"/>
        <v>25</v>
      </c>
      <c r="J72" s="124">
        <f t="shared" si="21"/>
        <v>34</v>
      </c>
    </row>
    <row r="73" spans="1:10" ht="12" customHeight="1">
      <c r="A73" s="118" t="s">
        <v>25</v>
      </c>
      <c r="B73" s="133">
        <v>4</v>
      </c>
      <c r="C73" s="124">
        <v>25</v>
      </c>
      <c r="D73" s="124">
        <f t="shared" si="22"/>
        <v>29</v>
      </c>
      <c r="E73" s="135">
        <v>1</v>
      </c>
      <c r="F73" s="124">
        <v>4</v>
      </c>
      <c r="G73" s="124">
        <f t="shared" si="20"/>
        <v>5</v>
      </c>
      <c r="H73" s="135">
        <f t="shared" si="23"/>
        <v>5</v>
      </c>
      <c r="I73" s="124">
        <f t="shared" si="23"/>
        <v>29</v>
      </c>
      <c r="J73" s="124">
        <f t="shared" si="21"/>
        <v>34</v>
      </c>
    </row>
    <row r="74" spans="1:10" ht="12" customHeight="1">
      <c r="A74" s="118" t="s">
        <v>26</v>
      </c>
      <c r="B74" s="133">
        <v>5</v>
      </c>
      <c r="C74" s="124">
        <v>25</v>
      </c>
      <c r="D74" s="124">
        <f t="shared" si="22"/>
        <v>30</v>
      </c>
      <c r="E74" s="135">
        <v>0</v>
      </c>
      <c r="F74" s="124">
        <v>4</v>
      </c>
      <c r="G74" s="124">
        <f t="shared" si="20"/>
        <v>4</v>
      </c>
      <c r="H74" s="135">
        <f t="shared" si="23"/>
        <v>5</v>
      </c>
      <c r="I74" s="124">
        <f t="shared" si="23"/>
        <v>29</v>
      </c>
      <c r="J74" s="124">
        <f t="shared" si="21"/>
        <v>34</v>
      </c>
    </row>
    <row r="75" spans="1:10" ht="12" customHeight="1">
      <c r="A75" s="118" t="s">
        <v>27</v>
      </c>
      <c r="B75" s="133">
        <v>6</v>
      </c>
      <c r="C75" s="124">
        <v>33</v>
      </c>
      <c r="D75" s="124">
        <f t="shared" si="22"/>
        <v>39</v>
      </c>
      <c r="E75" s="135">
        <v>1</v>
      </c>
      <c r="F75" s="124">
        <v>1</v>
      </c>
      <c r="G75" s="124">
        <f t="shared" si="20"/>
        <v>2</v>
      </c>
      <c r="H75" s="135">
        <f t="shared" si="23"/>
        <v>7</v>
      </c>
      <c r="I75" s="124">
        <f t="shared" si="23"/>
        <v>34</v>
      </c>
      <c r="J75" s="124">
        <f t="shared" si="21"/>
        <v>41</v>
      </c>
    </row>
    <row r="76" spans="1:10" ht="12" customHeight="1">
      <c r="A76" s="118" t="s">
        <v>28</v>
      </c>
      <c r="B76" s="133">
        <v>8</v>
      </c>
      <c r="C76" s="124">
        <v>9</v>
      </c>
      <c r="D76" s="136">
        <f t="shared" si="22"/>
        <v>17</v>
      </c>
      <c r="E76" s="135">
        <v>0</v>
      </c>
      <c r="F76" s="124">
        <v>0</v>
      </c>
      <c r="G76" s="136">
        <f t="shared" si="20"/>
        <v>0</v>
      </c>
      <c r="H76" s="135">
        <f t="shared" si="23"/>
        <v>8</v>
      </c>
      <c r="I76" s="124">
        <f t="shared" si="23"/>
        <v>9</v>
      </c>
      <c r="J76" s="136">
        <f t="shared" si="21"/>
        <v>17</v>
      </c>
    </row>
    <row r="77" spans="1:10" ht="12" customHeight="1">
      <c r="A77" s="137" t="s">
        <v>5</v>
      </c>
      <c r="B77" s="138">
        <f>SUM(B68:B76)</f>
        <v>47</v>
      </c>
      <c r="C77" s="139">
        <f aca="true" t="shared" si="24" ref="C77:J77">SUM(C68:C76)</f>
        <v>139</v>
      </c>
      <c r="D77" s="139">
        <f t="shared" si="24"/>
        <v>186</v>
      </c>
      <c r="E77" s="138">
        <f t="shared" si="24"/>
        <v>24</v>
      </c>
      <c r="F77" s="139">
        <f t="shared" si="24"/>
        <v>45</v>
      </c>
      <c r="G77" s="139">
        <f t="shared" si="24"/>
        <v>69</v>
      </c>
      <c r="H77" s="138">
        <f t="shared" si="24"/>
        <v>71</v>
      </c>
      <c r="I77" s="139">
        <f t="shared" si="24"/>
        <v>184</v>
      </c>
      <c r="J77" s="139">
        <f t="shared" si="24"/>
        <v>255</v>
      </c>
    </row>
    <row r="79" spans="1:10" ht="12" customHeight="1">
      <c r="A79" s="120" t="s">
        <v>11</v>
      </c>
      <c r="B79" s="125"/>
      <c r="C79" s="125"/>
      <c r="D79" s="125"/>
      <c r="E79" s="125"/>
      <c r="F79" s="126"/>
      <c r="G79" s="125"/>
      <c r="H79" s="125"/>
      <c r="I79" s="125"/>
      <c r="J79" s="125"/>
    </row>
    <row r="80" spans="1:10" ht="12" customHeight="1" thickBot="1">
      <c r="A80" s="118"/>
      <c r="B80" s="124"/>
      <c r="C80" s="124"/>
      <c r="D80" s="124"/>
      <c r="E80" s="124"/>
      <c r="F80" s="124"/>
      <c r="G80" s="124"/>
      <c r="H80" s="124"/>
      <c r="I80" s="124"/>
      <c r="J80" s="124"/>
    </row>
    <row r="81" spans="1:10" ht="12" customHeight="1">
      <c r="A81" s="127"/>
      <c r="B81" s="128" t="s">
        <v>3</v>
      </c>
      <c r="C81" s="129"/>
      <c r="D81" s="129"/>
      <c r="E81" s="128" t="s">
        <v>4</v>
      </c>
      <c r="F81" s="129"/>
      <c r="G81" s="129"/>
      <c r="H81" s="128" t="s">
        <v>5</v>
      </c>
      <c r="I81" s="129"/>
      <c r="J81" s="129"/>
    </row>
    <row r="82" spans="1:10" ht="12" customHeight="1">
      <c r="A82" s="185" t="s">
        <v>19</v>
      </c>
      <c r="B82" s="130" t="s">
        <v>6</v>
      </c>
      <c r="C82" s="131" t="s">
        <v>7</v>
      </c>
      <c r="D82" s="131" t="s">
        <v>5</v>
      </c>
      <c r="E82" s="130" t="s">
        <v>6</v>
      </c>
      <c r="F82" s="131" t="s">
        <v>7</v>
      </c>
      <c r="G82" s="131" t="s">
        <v>5</v>
      </c>
      <c r="H82" s="130" t="s">
        <v>6</v>
      </c>
      <c r="I82" s="131" t="s">
        <v>7</v>
      </c>
      <c r="J82" s="131" t="s">
        <v>5</v>
      </c>
    </row>
    <row r="83" spans="1:10" ht="12" customHeight="1">
      <c r="A83" s="132"/>
      <c r="B83" s="133"/>
      <c r="C83" s="134"/>
      <c r="D83" s="134"/>
      <c r="E83" s="133"/>
      <c r="F83" s="134"/>
      <c r="G83" s="134"/>
      <c r="H83" s="133"/>
      <c r="I83" s="134"/>
      <c r="J83" s="134"/>
    </row>
    <row r="84" spans="1:10" ht="12" customHeight="1">
      <c r="A84" s="118" t="s">
        <v>20</v>
      </c>
      <c r="B84" s="135">
        <v>0</v>
      </c>
      <c r="C84" s="124">
        <v>0</v>
      </c>
      <c r="D84" s="124">
        <f>SUM(B84:C84)</f>
        <v>0</v>
      </c>
      <c r="E84" s="135">
        <v>18</v>
      </c>
      <c r="F84" s="124">
        <v>22</v>
      </c>
      <c r="G84" s="124">
        <f aca="true" t="shared" si="25" ref="G84:G92">SUM(E84:F84)</f>
        <v>40</v>
      </c>
      <c r="H84" s="135">
        <f>SUM(B84,E84)</f>
        <v>18</v>
      </c>
      <c r="I84" s="124">
        <f>SUM(C84,F84)</f>
        <v>22</v>
      </c>
      <c r="J84" s="124">
        <f aca="true" t="shared" si="26" ref="J84:J92">SUM(H84:I84)</f>
        <v>40</v>
      </c>
    </row>
    <row r="85" spans="1:10" ht="12" customHeight="1">
      <c r="A85" s="118" t="s">
        <v>21</v>
      </c>
      <c r="B85" s="135">
        <v>0</v>
      </c>
      <c r="C85" s="124">
        <v>2</v>
      </c>
      <c r="D85" s="124">
        <f aca="true" t="shared" si="27" ref="D85:D92">SUM(B85:C85)</f>
        <v>2</v>
      </c>
      <c r="E85" s="135">
        <v>15</v>
      </c>
      <c r="F85" s="124">
        <v>21</v>
      </c>
      <c r="G85" s="124">
        <f t="shared" si="25"/>
        <v>36</v>
      </c>
      <c r="H85" s="135">
        <f aca="true" t="shared" si="28" ref="H85:I92">SUM(B85,E85)</f>
        <v>15</v>
      </c>
      <c r="I85" s="124">
        <f t="shared" si="28"/>
        <v>23</v>
      </c>
      <c r="J85" s="124">
        <f t="shared" si="26"/>
        <v>38</v>
      </c>
    </row>
    <row r="86" spans="1:10" ht="12" customHeight="1">
      <c r="A86" s="118" t="s">
        <v>22</v>
      </c>
      <c r="B86" s="135">
        <v>6</v>
      </c>
      <c r="C86" s="124">
        <v>14</v>
      </c>
      <c r="D86" s="124">
        <f t="shared" si="27"/>
        <v>20</v>
      </c>
      <c r="E86" s="135">
        <v>4</v>
      </c>
      <c r="F86" s="124">
        <v>12</v>
      </c>
      <c r="G86" s="124">
        <f t="shared" si="25"/>
        <v>16</v>
      </c>
      <c r="H86" s="135">
        <f t="shared" si="28"/>
        <v>10</v>
      </c>
      <c r="I86" s="124">
        <f t="shared" si="28"/>
        <v>26</v>
      </c>
      <c r="J86" s="124">
        <f t="shared" si="26"/>
        <v>36</v>
      </c>
    </row>
    <row r="87" spans="1:10" ht="12" customHeight="1">
      <c r="A87" s="118" t="s">
        <v>23</v>
      </c>
      <c r="B87" s="133">
        <v>9</v>
      </c>
      <c r="C87" s="124">
        <v>26</v>
      </c>
      <c r="D87" s="124">
        <f t="shared" si="27"/>
        <v>35</v>
      </c>
      <c r="E87" s="135">
        <v>5</v>
      </c>
      <c r="F87" s="124">
        <v>10</v>
      </c>
      <c r="G87" s="124">
        <f t="shared" si="25"/>
        <v>15</v>
      </c>
      <c r="H87" s="135">
        <f t="shared" si="28"/>
        <v>14</v>
      </c>
      <c r="I87" s="124">
        <f t="shared" si="28"/>
        <v>36</v>
      </c>
      <c r="J87" s="124">
        <f t="shared" si="26"/>
        <v>50</v>
      </c>
    </row>
    <row r="88" spans="1:10" ht="12" customHeight="1">
      <c r="A88" s="118" t="s">
        <v>24</v>
      </c>
      <c r="B88" s="133">
        <v>7</v>
      </c>
      <c r="C88" s="124">
        <v>26</v>
      </c>
      <c r="D88" s="124">
        <f t="shared" si="27"/>
        <v>33</v>
      </c>
      <c r="E88" s="135">
        <v>3</v>
      </c>
      <c r="F88" s="124">
        <v>7</v>
      </c>
      <c r="G88" s="124">
        <f t="shared" si="25"/>
        <v>10</v>
      </c>
      <c r="H88" s="135">
        <f t="shared" si="28"/>
        <v>10</v>
      </c>
      <c r="I88" s="124">
        <f t="shared" si="28"/>
        <v>33</v>
      </c>
      <c r="J88" s="124">
        <f t="shared" si="26"/>
        <v>43</v>
      </c>
    </row>
    <row r="89" spans="1:10" ht="12" customHeight="1">
      <c r="A89" s="118" t="s">
        <v>25</v>
      </c>
      <c r="B89" s="133">
        <v>7</v>
      </c>
      <c r="C89" s="124">
        <v>29</v>
      </c>
      <c r="D89" s="124">
        <f t="shared" si="27"/>
        <v>36</v>
      </c>
      <c r="E89" s="135">
        <v>0</v>
      </c>
      <c r="F89" s="124">
        <v>6</v>
      </c>
      <c r="G89" s="124">
        <f t="shared" si="25"/>
        <v>6</v>
      </c>
      <c r="H89" s="135">
        <f t="shared" si="28"/>
        <v>7</v>
      </c>
      <c r="I89" s="124">
        <f t="shared" si="28"/>
        <v>35</v>
      </c>
      <c r="J89" s="124">
        <f t="shared" si="26"/>
        <v>42</v>
      </c>
    </row>
    <row r="90" spans="1:10" ht="12" customHeight="1">
      <c r="A90" s="118" t="s">
        <v>26</v>
      </c>
      <c r="B90" s="133">
        <v>7</v>
      </c>
      <c r="C90" s="124">
        <v>44</v>
      </c>
      <c r="D90" s="124">
        <f t="shared" si="27"/>
        <v>51</v>
      </c>
      <c r="E90" s="135">
        <v>2</v>
      </c>
      <c r="F90" s="124">
        <v>6</v>
      </c>
      <c r="G90" s="124">
        <f t="shared" si="25"/>
        <v>8</v>
      </c>
      <c r="H90" s="135">
        <f t="shared" si="28"/>
        <v>9</v>
      </c>
      <c r="I90" s="124">
        <f t="shared" si="28"/>
        <v>50</v>
      </c>
      <c r="J90" s="124">
        <f t="shared" si="26"/>
        <v>59</v>
      </c>
    </row>
    <row r="91" spans="1:10" ht="12" customHeight="1">
      <c r="A91" s="118" t="s">
        <v>27</v>
      </c>
      <c r="B91" s="133">
        <v>6</v>
      </c>
      <c r="C91" s="124">
        <v>39</v>
      </c>
      <c r="D91" s="124">
        <f t="shared" si="27"/>
        <v>45</v>
      </c>
      <c r="E91" s="135">
        <v>0</v>
      </c>
      <c r="F91" s="124">
        <v>4</v>
      </c>
      <c r="G91" s="124">
        <f t="shared" si="25"/>
        <v>4</v>
      </c>
      <c r="H91" s="135">
        <f t="shared" si="28"/>
        <v>6</v>
      </c>
      <c r="I91" s="124">
        <f t="shared" si="28"/>
        <v>43</v>
      </c>
      <c r="J91" s="124">
        <f t="shared" si="26"/>
        <v>49</v>
      </c>
    </row>
    <row r="92" spans="1:10" ht="12" customHeight="1">
      <c r="A92" s="118" t="s">
        <v>28</v>
      </c>
      <c r="B92" s="133">
        <v>8</v>
      </c>
      <c r="C92" s="124">
        <v>12</v>
      </c>
      <c r="D92" s="136">
        <f t="shared" si="27"/>
        <v>20</v>
      </c>
      <c r="E92" s="135">
        <v>0</v>
      </c>
      <c r="F92" s="124">
        <v>2</v>
      </c>
      <c r="G92" s="136">
        <f t="shared" si="25"/>
        <v>2</v>
      </c>
      <c r="H92" s="135">
        <f t="shared" si="28"/>
        <v>8</v>
      </c>
      <c r="I92" s="124">
        <f t="shared" si="28"/>
        <v>14</v>
      </c>
      <c r="J92" s="136">
        <f t="shared" si="26"/>
        <v>22</v>
      </c>
    </row>
    <row r="93" spans="1:10" ht="12" customHeight="1">
      <c r="A93" s="137" t="s">
        <v>5</v>
      </c>
      <c r="B93" s="138">
        <f>SUM(B84:B92)</f>
        <v>50</v>
      </c>
      <c r="C93" s="139">
        <f aca="true" t="shared" si="29" ref="C93:J93">SUM(C84:C92)</f>
        <v>192</v>
      </c>
      <c r="D93" s="139">
        <f t="shared" si="29"/>
        <v>242</v>
      </c>
      <c r="E93" s="138">
        <f t="shared" si="29"/>
        <v>47</v>
      </c>
      <c r="F93" s="139">
        <f t="shared" si="29"/>
        <v>90</v>
      </c>
      <c r="G93" s="139">
        <f t="shared" si="29"/>
        <v>137</v>
      </c>
      <c r="H93" s="138">
        <f t="shared" si="29"/>
        <v>97</v>
      </c>
      <c r="I93" s="139">
        <f t="shared" si="29"/>
        <v>282</v>
      </c>
      <c r="J93" s="139">
        <f t="shared" si="29"/>
        <v>379</v>
      </c>
    </row>
    <row r="95" spans="1:11" s="191" customFormat="1" ht="12.75">
      <c r="A95" s="197"/>
      <c r="B95" s="195"/>
      <c r="C95" s="195"/>
      <c r="D95" s="195"/>
      <c r="E95" s="195"/>
      <c r="F95" s="195"/>
      <c r="G95" s="195"/>
      <c r="H95" s="195"/>
      <c r="I95" s="195"/>
      <c r="J95" s="195"/>
      <c r="K95" s="195"/>
    </row>
    <row r="96" spans="1:11" s="191" customFormat="1" ht="12.75">
      <c r="A96" s="198"/>
      <c r="B96" s="195"/>
      <c r="C96" s="195"/>
      <c r="D96" s="195"/>
      <c r="E96" s="195"/>
      <c r="F96" s="195"/>
      <c r="G96" s="195"/>
      <c r="H96" s="195"/>
      <c r="I96" s="195"/>
      <c r="J96" s="195"/>
      <c r="K96" s="195"/>
    </row>
    <row r="97" spans="1:11" s="191" customFormat="1" ht="12.75">
      <c r="A97" s="200"/>
      <c r="B97" s="195"/>
      <c r="C97" s="195"/>
      <c r="D97" s="195"/>
      <c r="E97" s="195"/>
      <c r="F97" s="195"/>
      <c r="G97" s="195"/>
      <c r="H97" s="195"/>
      <c r="I97" s="195"/>
      <c r="J97" s="195"/>
      <c r="K97" s="195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Vermeulen, Geert</cp:lastModifiedBy>
  <cp:lastPrinted>2017-07-27T13:59:38Z</cp:lastPrinted>
  <dcterms:created xsi:type="dcterms:W3CDTF">1999-11-09T10:40:34Z</dcterms:created>
  <dcterms:modified xsi:type="dcterms:W3CDTF">2017-08-22T14:51:15Z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Onwaar</vt:lpwstr>
  </property>
  <property fmtid="{D5CDD505-2E9C-101B-9397-08002B2CF9AE}" pid="3" name="ContentTypeId">
    <vt:lpwstr>0x0101003469F0671AEE1641A22D649C188EA117</vt:lpwstr>
  </property>
</Properties>
</file>