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ttps://vlaamseoverheid.sharepoint.com/sites/1F3C/dienstverlening/Rapporten/Jaarrapporten/2022/Cijfers_en_tabellen/Hoofdstuk 3/"/>
    </mc:Choice>
  </mc:AlternateContent>
  <xr:revisionPtr revIDLastSave="9580" documentId="13_ncr:3_{B38130AD-ED57-4BCB-B041-7B207FC9C5E9}" xr6:coauthVersionLast="47" xr6:coauthVersionMax="47" xr10:uidLastSave="{AC1BF200-627E-43CF-8418-09B1300478F3}"/>
  <bookViews>
    <workbookView xWindow="-108" yWindow="-108" windowWidth="23256" windowHeight="12576" tabRatio="762" activeTab="13" xr2:uid="{72608D67-A4C6-4F75-B1BC-2612A2299954}"/>
  </bookViews>
  <sheets>
    <sheet name="Inhoud" sheetId="85" r:id="rId1"/>
    <sheet name="3.1" sheetId="1" r:id="rId2"/>
    <sheet name="3.2" sheetId="2" r:id="rId3"/>
    <sheet name="3.3" sheetId="67" r:id="rId4"/>
    <sheet name="3.4" sheetId="4" r:id="rId5"/>
    <sheet name="3.5" sheetId="5" r:id="rId6"/>
    <sheet name="3.6" sheetId="7" r:id="rId7"/>
    <sheet name="3.7" sheetId="8" r:id="rId8"/>
    <sheet name="3.8" sheetId="6" r:id="rId9"/>
    <sheet name="3.9" sheetId="9" r:id="rId10"/>
    <sheet name="3.10" sheetId="10" r:id="rId11"/>
    <sheet name="3.11" sheetId="11" r:id="rId12"/>
    <sheet name="3.12" sheetId="12" r:id="rId13"/>
    <sheet name="3.13" sheetId="73" r:id="rId14"/>
    <sheet name="3.14" sheetId="13" r:id="rId15"/>
    <sheet name="3.15" sheetId="74" r:id="rId16"/>
    <sheet name="3.16" sheetId="14" r:id="rId17"/>
    <sheet name="3.17" sheetId="15" r:id="rId18"/>
    <sheet name="3.18" sheetId="68" r:id="rId19"/>
    <sheet name="3.19" sheetId="17" r:id="rId20"/>
    <sheet name="3.20" sheetId="18" r:id="rId21"/>
    <sheet name="3.21" sheetId="19" r:id="rId22"/>
    <sheet name="3.22" sheetId="20" r:id="rId23"/>
    <sheet name="3.23" sheetId="21" r:id="rId24"/>
    <sheet name="3.24" sheetId="22" r:id="rId25"/>
    <sheet name="3.25" sheetId="24" r:id="rId26"/>
    <sheet name="3.26" sheetId="61" r:id="rId27"/>
    <sheet name="3.27" sheetId="59" r:id="rId28"/>
    <sheet name="3.28" sheetId="58" r:id="rId29"/>
    <sheet name="3.29" sheetId="57" r:id="rId30"/>
    <sheet name="3.30" sheetId="56" r:id="rId31"/>
    <sheet name="3.31" sheetId="55" r:id="rId32"/>
    <sheet name="3.32" sheetId="32" r:id="rId33"/>
    <sheet name="3.33" sheetId="54" r:id="rId34"/>
    <sheet name="3.34" sheetId="53" r:id="rId35"/>
    <sheet name="3.35" sheetId="52" r:id="rId36"/>
    <sheet name="3.36" sheetId="51" r:id="rId37"/>
    <sheet name="3.37" sheetId="50" r:id="rId38"/>
    <sheet name="3.38" sheetId="72" r:id="rId39"/>
    <sheet name="3.39" sheetId="70" r:id="rId40"/>
    <sheet name="3.40" sheetId="49" r:id="rId41"/>
    <sheet name="3.41" sheetId="48" r:id="rId42"/>
    <sheet name="3.42" sheetId="47" r:id="rId43"/>
    <sheet name="3.43" sheetId="46" r:id="rId44"/>
    <sheet name="3.44" sheetId="45" r:id="rId45"/>
    <sheet name="3.45" sheetId="44" r:id="rId46"/>
    <sheet name="3.46" sheetId="41" r:id="rId47"/>
    <sheet name="3.47" sheetId="43" r:id="rId48"/>
  </sheets>
  <definedNames>
    <definedName name="_1397890933" localSheetId="44">'3.44'!$A$2</definedName>
    <definedName name="_Hlk1739744" localSheetId="20">'3.20'!#REF!</definedName>
    <definedName name="_Hlk2842299" localSheetId="20">'3.20'!#REF!</definedName>
    <definedName name="_Hlk9852480" localSheetId="40">'3.40'!#REF!</definedName>
    <definedName name="_MON_1492866926" localSheetId="46">'3.46'!$A$2</definedName>
    <definedName name="_Toc80112063" localSheetId="29">'3.29'!$A$2</definedName>
    <definedName name="_Toc80112068" localSheetId="34">'3.34'!$A$2</definedName>
    <definedName name="OLE_LINK3" localSheetId="1">'3.1'!#REF!</definedName>
    <definedName name="OLE_LINK4" localSheetId="9">'3.9'!#REF!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48" l="1"/>
  <c r="R15" i="48"/>
  <c r="R16" i="48"/>
  <c r="R17" i="48"/>
  <c r="R18" i="48"/>
  <c r="R19" i="48"/>
  <c r="R13" i="48"/>
  <c r="Q14" i="48"/>
  <c r="Q15" i="48"/>
  <c r="Q16" i="48"/>
  <c r="Q17" i="48"/>
  <c r="Q18" i="48"/>
  <c r="Q19" i="48"/>
  <c r="Q13" i="48"/>
  <c r="P19" i="48"/>
  <c r="P18" i="48"/>
  <c r="P15" i="48"/>
  <c r="O19" i="48"/>
  <c r="O18" i="48"/>
  <c r="O15" i="48"/>
  <c r="N19" i="48"/>
  <c r="N18" i="48"/>
  <c r="N15" i="48"/>
  <c r="R6" i="48"/>
  <c r="R7" i="48"/>
  <c r="R8" i="48"/>
  <c r="R9" i="48"/>
  <c r="R5" i="48"/>
  <c r="Q9" i="48"/>
  <c r="Q7" i="48"/>
  <c r="Q8" i="48"/>
  <c r="Q6" i="48"/>
  <c r="Q5" i="48"/>
  <c r="P9" i="48"/>
  <c r="O9" i="48"/>
  <c r="N9" i="48"/>
  <c r="F7" i="49"/>
  <c r="F8" i="49"/>
  <c r="E13" i="49"/>
  <c r="F13" i="49"/>
  <c r="F12" i="49"/>
  <c r="L28" i="9"/>
  <c r="M25" i="9"/>
  <c r="L25" i="9"/>
  <c r="N11" i="9"/>
  <c r="F10" i="41"/>
  <c r="H35" i="67"/>
  <c r="H36" i="67" s="1"/>
  <c r="N52" i="21"/>
  <c r="N50" i="21"/>
  <c r="N48" i="21"/>
  <c r="N41" i="21"/>
  <c r="N42" i="21"/>
  <c r="N40" i="21"/>
  <c r="N31" i="21"/>
  <c r="N32" i="21"/>
  <c r="N33" i="21"/>
  <c r="N34" i="21"/>
  <c r="N21" i="21"/>
  <c r="N23" i="21"/>
  <c r="N24" i="21"/>
  <c r="N25" i="21"/>
  <c r="N26" i="21"/>
  <c r="N27" i="21"/>
  <c r="G6" i="43"/>
  <c r="N24" i="20"/>
  <c r="N25" i="20"/>
  <c r="N26" i="20"/>
  <c r="N27" i="20"/>
  <c r="N28" i="20"/>
  <c r="N23" i="20"/>
  <c r="N6" i="20"/>
  <c r="N7" i="20"/>
  <c r="N8" i="20"/>
  <c r="N9" i="20"/>
  <c r="N10" i="20"/>
  <c r="N11" i="20"/>
  <c r="N12" i="20"/>
  <c r="N13" i="20"/>
  <c r="N14" i="20"/>
  <c r="N15" i="20"/>
  <c r="N16" i="20"/>
  <c r="N17" i="20"/>
  <c r="N18" i="20"/>
  <c r="N19" i="20"/>
  <c r="N6" i="19"/>
  <c r="N7" i="19"/>
  <c r="N8" i="19"/>
  <c r="N9" i="19"/>
  <c r="N10" i="19"/>
  <c r="N11" i="19"/>
  <c r="N12" i="19"/>
  <c r="N13" i="19"/>
  <c r="N14" i="19"/>
  <c r="N15" i="19"/>
  <c r="N16" i="19"/>
  <c r="N17" i="19"/>
  <c r="N18" i="19"/>
  <c r="N19" i="19"/>
  <c r="N20" i="19"/>
  <c r="N21" i="19"/>
  <c r="N22" i="19"/>
  <c r="N5" i="19"/>
  <c r="N5" i="20"/>
  <c r="G13" i="1"/>
  <c r="H9" i="1"/>
  <c r="H10" i="1"/>
  <c r="I8" i="70"/>
  <c r="H8" i="70"/>
  <c r="H11" i="2"/>
  <c r="H5" i="2"/>
  <c r="H6" i="2"/>
  <c r="H7" i="2"/>
  <c r="H8" i="2"/>
  <c r="H9" i="2"/>
  <c r="H10" i="2"/>
  <c r="H4" i="2"/>
  <c r="G11" i="2"/>
  <c r="G8" i="2"/>
  <c r="L29" i="9" l="1"/>
  <c r="N21" i="9"/>
  <c r="N6" i="9"/>
  <c r="N7" i="9"/>
  <c r="N8" i="9"/>
  <c r="N5" i="9"/>
  <c r="N35" i="21"/>
  <c r="N17" i="21"/>
  <c r="N10" i="21"/>
  <c r="B8" i="74" l="1"/>
  <c r="B6" i="74"/>
  <c r="B19" i="8" l="1"/>
  <c r="B18" i="8"/>
  <c r="B10" i="8" l="1"/>
  <c r="B9" i="8"/>
  <c r="B8" i="8"/>
  <c r="N15" i="21" l="1"/>
  <c r="N16" i="21"/>
  <c r="N9" i="21"/>
  <c r="N47" i="21"/>
  <c r="N44" i="21"/>
  <c r="N28" i="21"/>
  <c r="N7" i="21"/>
  <c r="N6" i="21"/>
  <c r="N8" i="21"/>
  <c r="N5" i="17"/>
  <c r="AB5" i="59"/>
  <c r="AC5" i="59"/>
  <c r="AD5" i="59"/>
  <c r="AA5" i="59"/>
  <c r="M28" i="6" l="1"/>
  <c r="L28" i="6"/>
  <c r="B9" i="5" l="1"/>
  <c r="F17" i="5" l="1"/>
  <c r="F18" i="5"/>
  <c r="F16" i="5"/>
  <c r="F19" i="5" s="1"/>
  <c r="F9" i="5"/>
  <c r="F10" i="5"/>
  <c r="F8" i="5"/>
  <c r="F11" i="5" s="1"/>
  <c r="C11" i="5"/>
  <c r="D11" i="5"/>
  <c r="E11" i="5"/>
  <c r="D19" i="5"/>
  <c r="E19" i="5"/>
  <c r="B13" i="6"/>
  <c r="C13" i="6"/>
  <c r="N18" i="13"/>
  <c r="N17" i="13"/>
  <c r="N16" i="13"/>
  <c r="N10" i="13"/>
  <c r="M10" i="13"/>
  <c r="L10" i="13"/>
  <c r="N8" i="13"/>
  <c r="N7" i="13"/>
  <c r="N6" i="13"/>
  <c r="M27" i="9" l="1"/>
  <c r="M29" i="9" s="1"/>
  <c r="M13" i="9"/>
  <c r="L13" i="9"/>
  <c r="M8" i="9"/>
  <c r="M6" i="9"/>
  <c r="M15" i="9" s="1"/>
  <c r="B11" i="8"/>
  <c r="E11" i="8"/>
  <c r="D11" i="8"/>
  <c r="C11" i="8"/>
  <c r="F20" i="8"/>
  <c r="F19" i="8"/>
  <c r="F18" i="8"/>
  <c r="E21" i="8"/>
  <c r="D21" i="8"/>
  <c r="B21" i="8"/>
  <c r="F21" i="8" s="1"/>
  <c r="F10" i="8"/>
  <c r="F9" i="8"/>
  <c r="F8" i="8"/>
  <c r="N15" i="7"/>
  <c r="N16" i="7"/>
  <c r="N14" i="7"/>
  <c r="L17" i="7"/>
  <c r="L9" i="7"/>
  <c r="N9" i="7"/>
  <c r="N7" i="7"/>
  <c r="N8" i="7"/>
  <c r="N6" i="7"/>
  <c r="M17" i="7"/>
  <c r="M9" i="7"/>
  <c r="D12" i="47"/>
  <c r="E12" i="47"/>
  <c r="F12" i="47"/>
  <c r="N20" i="6"/>
  <c r="N5" i="6"/>
  <c r="L15" i="9" l="1"/>
  <c r="N13" i="9"/>
  <c r="F11" i="8"/>
  <c r="N6" i="61"/>
  <c r="N7" i="61"/>
  <c r="N8" i="61"/>
  <c r="N9" i="61"/>
  <c r="N10" i="61"/>
  <c r="N5" i="61"/>
  <c r="H5" i="1"/>
  <c r="H6" i="1"/>
  <c r="H7" i="1"/>
  <c r="H8" i="1"/>
  <c r="H11" i="1"/>
  <c r="H12" i="1"/>
  <c r="H4" i="1"/>
  <c r="G7" i="22"/>
  <c r="AE6" i="59"/>
  <c r="AE7" i="59"/>
  <c r="AE8" i="59"/>
  <c r="AE5" i="59"/>
  <c r="AE9" i="59"/>
  <c r="N6" i="18" l="1"/>
  <c r="N8" i="18"/>
  <c r="N9" i="18"/>
  <c r="N11" i="18"/>
  <c r="N5" i="18"/>
  <c r="L12" i="18" l="1"/>
  <c r="N6" i="17" l="1"/>
  <c r="N7" i="17"/>
  <c r="N8" i="17"/>
  <c r="N6" i="15"/>
  <c r="N5" i="15"/>
  <c r="N6" i="14"/>
  <c r="N7" i="14"/>
  <c r="N8" i="14"/>
  <c r="N5" i="14"/>
  <c r="B10" i="73"/>
  <c r="G8" i="12" l="1"/>
  <c r="H8" i="11" l="1"/>
  <c r="H6" i="11"/>
  <c r="H7" i="11"/>
  <c r="H5" i="11"/>
  <c r="G8" i="11"/>
  <c r="H6" i="10"/>
  <c r="H7" i="10"/>
  <c r="H5" i="10"/>
  <c r="G8" i="10"/>
  <c r="H8" i="10" s="1"/>
  <c r="K28" i="6" l="1"/>
  <c r="N28" i="6" s="1"/>
  <c r="N6" i="6"/>
  <c r="N7" i="6"/>
  <c r="N8" i="6"/>
  <c r="N9" i="6"/>
  <c r="N10" i="6"/>
  <c r="N11" i="6"/>
  <c r="N12" i="6"/>
  <c r="L13" i="6"/>
  <c r="M13" i="6"/>
  <c r="K13" i="6"/>
  <c r="I13" i="6"/>
  <c r="N13" i="6" l="1"/>
  <c r="N7" i="4" l="1"/>
  <c r="N8" i="4"/>
  <c r="N6" i="4"/>
  <c r="L9" i="4"/>
  <c r="N9" i="4" s="1"/>
  <c r="M9" i="4"/>
  <c r="M8" i="17"/>
  <c r="L8" i="17"/>
  <c r="L8" i="14"/>
  <c r="M8" i="14"/>
  <c r="J12" i="18"/>
  <c r="N12" i="18" s="1"/>
  <c r="H12" i="18"/>
  <c r="F12" i="18"/>
  <c r="D12" i="18"/>
  <c r="B12" i="18"/>
  <c r="B15" i="74"/>
  <c r="K29" i="9"/>
  <c r="I29" i="9"/>
  <c r="H29" i="9"/>
  <c r="B15" i="9"/>
  <c r="D15" i="9"/>
  <c r="F15" i="9"/>
  <c r="G15" i="9"/>
  <c r="H15" i="9"/>
  <c r="I15" i="9"/>
  <c r="J15" i="9"/>
  <c r="N15" i="9" s="1"/>
  <c r="K15" i="9"/>
  <c r="C15" i="9"/>
  <c r="E15" i="9"/>
  <c r="G13" i="6"/>
  <c r="H13" i="6"/>
  <c r="J28" i="6"/>
  <c r="I28" i="6"/>
  <c r="H28" i="6"/>
  <c r="D13" i="6"/>
  <c r="E13" i="6"/>
  <c r="F13" i="6"/>
  <c r="F36" i="67"/>
  <c r="E36" i="67"/>
  <c r="G35" i="67"/>
  <c r="G36" i="67" s="1"/>
  <c r="E35" i="67"/>
  <c r="F35" i="67"/>
  <c r="D35" i="67"/>
  <c r="D36" i="67" s="1"/>
  <c r="C35" i="67"/>
  <c r="C36" i="67" s="1"/>
  <c r="F13" i="1"/>
  <c r="H13" i="1" s="1"/>
  <c r="E13" i="1"/>
  <c r="D13" i="1"/>
  <c r="C13" i="1"/>
  <c r="B13" i="1"/>
  <c r="F6" i="43"/>
  <c r="E10" i="41"/>
  <c r="D10" i="41"/>
  <c r="B10" i="41"/>
  <c r="J22" i="9"/>
  <c r="E8" i="49"/>
  <c r="E12" i="49"/>
  <c r="E7" i="49"/>
  <c r="J23" i="9"/>
  <c r="G8" i="70"/>
  <c r="F8" i="70"/>
  <c r="Z6" i="59"/>
  <c r="Z7" i="59"/>
  <c r="Z8" i="59"/>
  <c r="Z9" i="59"/>
  <c r="Z5" i="59"/>
  <c r="J29" i="9" l="1"/>
  <c r="N29" i="9" s="1"/>
  <c r="B14" i="73"/>
  <c r="B17" i="73" s="1"/>
  <c r="F8" i="12" l="1"/>
  <c r="F8" i="11" l="1"/>
  <c r="E8" i="10" l="1"/>
  <c r="F8" i="10" l="1"/>
  <c r="J6" i="6" l="1"/>
  <c r="J13" i="6" s="1"/>
  <c r="E37" i="5" l="1"/>
  <c r="D37" i="5"/>
  <c r="F36" i="5"/>
  <c r="B35" i="5"/>
  <c r="F35" i="5" s="1"/>
  <c r="B34" i="5"/>
  <c r="B37" i="5" s="1"/>
  <c r="E48" i="5"/>
  <c r="D48" i="5"/>
  <c r="C48" i="5"/>
  <c r="B48" i="5"/>
  <c r="F47" i="5"/>
  <c r="F46" i="5"/>
  <c r="F45" i="5"/>
  <c r="B27" i="5"/>
  <c r="B26" i="5"/>
  <c r="F48" i="5" l="1"/>
  <c r="F34" i="5"/>
  <c r="F37" i="5" s="1"/>
  <c r="F27" i="5"/>
  <c r="F28" i="5"/>
  <c r="F26" i="5"/>
  <c r="C29" i="5"/>
  <c r="D29" i="5"/>
  <c r="E29" i="5"/>
  <c r="B29" i="5"/>
  <c r="F29" i="5" l="1"/>
  <c r="E56" i="5" l="1"/>
  <c r="D56" i="5"/>
  <c r="B56" i="5"/>
  <c r="F55" i="5"/>
  <c r="F54" i="5"/>
  <c r="F53" i="5"/>
  <c r="F56" i="5" s="1"/>
  <c r="K16" i="4"/>
  <c r="J16" i="4"/>
  <c r="J9" i="4" l="1"/>
  <c r="K9" i="4"/>
  <c r="L18" i="48"/>
  <c r="L19" i="48" s="1"/>
  <c r="M9" i="48"/>
  <c r="L9" i="48"/>
  <c r="K9" i="48"/>
  <c r="M18" i="48"/>
  <c r="M15" i="48"/>
  <c r="K19" i="48"/>
  <c r="K18" i="13"/>
  <c r="J18" i="13"/>
  <c r="J10" i="13"/>
  <c r="K10" i="13"/>
  <c r="M19" i="48" l="1"/>
  <c r="I10" i="13"/>
  <c r="E13" i="47"/>
  <c r="K8" i="17"/>
  <c r="J8" i="17"/>
  <c r="J8" i="14"/>
  <c r="K8" i="14"/>
  <c r="B39" i="8"/>
  <c r="F39" i="8" s="1"/>
  <c r="B15" i="7"/>
  <c r="F40" i="8"/>
  <c r="E41" i="8"/>
  <c r="D41" i="8"/>
  <c r="B38" i="8"/>
  <c r="F38" i="8" s="1"/>
  <c r="B41" i="8" l="1"/>
  <c r="F41" i="8"/>
  <c r="B29" i="8" l="1"/>
  <c r="F29" i="8" s="1"/>
  <c r="F30" i="8"/>
  <c r="D31" i="8"/>
  <c r="E31" i="8"/>
  <c r="C31" i="8"/>
  <c r="B28" i="8"/>
  <c r="F28" i="8" s="1"/>
  <c r="B31" i="8" l="1"/>
  <c r="F31" i="8" s="1"/>
  <c r="K17" i="7" l="1"/>
  <c r="J17" i="7" l="1"/>
  <c r="K9" i="7"/>
  <c r="J9" i="7"/>
  <c r="F8" i="2" l="1"/>
  <c r="C18" i="13"/>
  <c r="B18" i="13"/>
  <c r="C10" i="13"/>
  <c r="B10" i="13"/>
  <c r="E11" i="2"/>
  <c r="F11" i="2" l="1"/>
</calcChain>
</file>

<file path=xl/sharedStrings.xml><?xml version="1.0" encoding="utf-8"?>
<sst xmlns="http://schemas.openxmlformats.org/spreadsheetml/2006/main" count="2230" uniqueCount="661">
  <si>
    <t>Inhoud tabellen Hoofdstuk 3.1 Onze klanten: de scholen</t>
  </si>
  <si>
    <t>Tabel 3.1</t>
  </si>
  <si>
    <t>Aantal leerlingen</t>
  </si>
  <si>
    <t>Tabel 3.25</t>
  </si>
  <si>
    <t>Overzicht omkadering internaten in het basis- en secundair onderwijs</t>
  </si>
  <si>
    <t>Tabel 3.2</t>
  </si>
  <si>
    <t>Aantal internen</t>
  </si>
  <si>
    <t>Tabel 3.26</t>
  </si>
  <si>
    <t>Overzicht omkadering in het dko</t>
  </si>
  <si>
    <t>Tabel 3.3</t>
  </si>
  <si>
    <t>Aantal gesubsidieerde en gefinancierde scholen</t>
  </si>
  <si>
    <t>Tabel 3.27</t>
  </si>
  <si>
    <t>Overzicht omkadering PBD</t>
  </si>
  <si>
    <t>Tabel 3.4</t>
  </si>
  <si>
    <t>Werkingsmiddelen in het basisonderwijs</t>
  </si>
  <si>
    <t>Tabel 3.28</t>
  </si>
  <si>
    <t>Overzicht oprichtingen, stopzettingen en structuurwijzigingen in het gewoon basisonderwijs</t>
  </si>
  <si>
    <t>Tabel 3.5</t>
  </si>
  <si>
    <t>Samenstelling van de werkingsmiddelen in het basisonderwijs</t>
  </si>
  <si>
    <t>Tabel 3.29</t>
  </si>
  <si>
    <t>Overzicht oprichtingen, stopzettingen en structuurwijzigingen in het buitengewoon basisonderwijs</t>
  </si>
  <si>
    <t>Tabel 3.6</t>
  </si>
  <si>
    <t>Werkingsmiddelen in het secundair onderwijs</t>
  </si>
  <si>
    <t>Tabel 3.30</t>
  </si>
  <si>
    <t>Overzicht programmatieaanvragen in het buitengewoon basisonderwijs</t>
  </si>
  <si>
    <t>Tabel 3.7</t>
  </si>
  <si>
    <t>Samenstelling van de werkingsmiddelen in het secundair onderwijs</t>
  </si>
  <si>
    <t>Tabel 3.31</t>
  </si>
  <si>
    <t>Overzicht herstructureringen in het gewoon secundair onderwijs</t>
  </si>
  <si>
    <t>Tabel 3.8</t>
  </si>
  <si>
    <t>Bijkomende toelagen in het basisonderwijs</t>
  </si>
  <si>
    <t>Tabel 3.32</t>
  </si>
  <si>
    <t>Overzicht programmatieaanvragen in het gewoon secundair onderwijs</t>
  </si>
  <si>
    <t>Tabel 3.9</t>
  </si>
  <si>
    <t>Bijkomende toelagen in het secundair onderwijs</t>
  </si>
  <si>
    <t>Tabel 3.33</t>
  </si>
  <si>
    <t>Overzicht programmaties, herstructureringen en fusies in het buitengewoon secundair onderwijs</t>
  </si>
  <si>
    <t>Tabel 3.10</t>
  </si>
  <si>
    <t>Werkingsmiddelen voor de CLB's</t>
  </si>
  <si>
    <t>Tabel 3.34</t>
  </si>
  <si>
    <t>Overzicht programmatieaanvragen in het buitengewoon secundair onderwijs</t>
  </si>
  <si>
    <t>Tabel 3.11</t>
  </si>
  <si>
    <t>Toelagen voor systematische contacten door CLB's</t>
  </si>
  <si>
    <t>Tabel 3.35</t>
  </si>
  <si>
    <t>Overzicht programmatieaanvragen structuuronderdelen in het buitengewoon secundair onderwijs</t>
  </si>
  <si>
    <t>Tabel 3.12</t>
  </si>
  <si>
    <t>Toelagen voor nascholing voor CLB's</t>
  </si>
  <si>
    <t>Tabel 3.36</t>
  </si>
  <si>
    <t>Overzicht oprichtingen, stopzettingen en structuurwijzigingen in het dko</t>
  </si>
  <si>
    <t>Tabel 3.13</t>
  </si>
  <si>
    <t>Toelagen voor CLB’s door de coronamaatregelen</t>
  </si>
  <si>
    <t>Tabel 3.37</t>
  </si>
  <si>
    <t>Overzicht programmatieaanvragen in het dko</t>
  </si>
  <si>
    <t>Tabel 3.14</t>
  </si>
  <si>
    <t>Werkingsmiddelen voor de internaten</t>
  </si>
  <si>
    <t>Tabel 3.38</t>
  </si>
  <si>
    <t>Overzicht fusies CLB </t>
  </si>
  <si>
    <t>Tabel 3.15</t>
  </si>
  <si>
    <t>Toelagen voor internaten door de coronamaatregelen</t>
  </si>
  <si>
    <t>Tabel 3.39</t>
  </si>
  <si>
    <t>Subsidie voor busbegeleiding</t>
  </si>
  <si>
    <t>Tabel 3.16</t>
  </si>
  <si>
    <t>Werkingsmiddelen in het dko</t>
  </si>
  <si>
    <t>Tabel 3.40</t>
  </si>
  <si>
    <t>Tabel 3.17</t>
  </si>
  <si>
    <t>Bijkomende toelagen in het dko</t>
  </si>
  <si>
    <t>Tabel 3.41</t>
  </si>
  <si>
    <t>Overzicht vervoerskosten fietsers en gebruikers openbaar vervoer</t>
  </si>
  <si>
    <t>Tabel 3.18</t>
  </si>
  <si>
    <t>Tarieven in het dko</t>
  </si>
  <si>
    <t>Tabel 3.42</t>
  </si>
  <si>
    <t>Overzicht bestaanzekerheidsvergoeding busbegeleiders basisonderwijs en secundair onderwijs</t>
  </si>
  <si>
    <t>Tabel 3.19</t>
  </si>
  <si>
    <t>Inschrijvingsgelden in het dko</t>
  </si>
  <si>
    <t>Tabel 3.43</t>
  </si>
  <si>
    <t>Tegemoetkoming in de kosten bedrijfsrevisoren</t>
  </si>
  <si>
    <t>Tabel 3.20</t>
  </si>
  <si>
    <t>Werkingsmiddelen en toelagen voor de PBD</t>
  </si>
  <si>
    <t>Tabel 3.44</t>
  </si>
  <si>
    <t>Overzicht aantal terugvorderingen in het basisonderwijs</t>
  </si>
  <si>
    <t>Tabel 3.21</t>
  </si>
  <si>
    <t>Overzicht omkadering in het gewoon basisonderwijs</t>
  </si>
  <si>
    <t>Tabel 3.45</t>
  </si>
  <si>
    <t>Overzicht gecontroleerde scholen in het gewoon secundair onderwijs voor de pakketten uren/leraar</t>
  </si>
  <si>
    <t>Tabel 3.22</t>
  </si>
  <si>
    <t>Overzicht omkadering in het buitengewoon basisonderwijs  </t>
  </si>
  <si>
    <t>Tabel 3.46</t>
  </si>
  <si>
    <t>Overzicht gecontroleerde scholengemeenschappen en scholen niet in een scholengemeenschap voor de aanwending van de globale puntenenveloppe</t>
  </si>
  <si>
    <t>Tabel 3.23</t>
  </si>
  <si>
    <t>Overzicht omkadering in het secundair onderwijs</t>
  </si>
  <si>
    <t>Tabel 3.47</t>
  </si>
  <si>
    <t>Overzicht gecontroleerde scholen voor gekleurde werkingsmiddelen</t>
  </si>
  <si>
    <t>Tabel 3.24</t>
  </si>
  <si>
    <t>Omkaderingsgewichten voor de CLB’s</t>
  </si>
  <si>
    <t>Overzicht financierbare leerlingen na verificatie</t>
  </si>
  <si>
    <t>Terug naar inhoud</t>
  </si>
  <si>
    <t>Tabel 3.1: aantal leerlingen</t>
  </si>
  <si>
    <t>2016-2017</t>
  </si>
  <si>
    <t>2017-2018</t>
  </si>
  <si>
    <t>2018-2019</t>
  </si>
  <si>
    <t>2019-2020</t>
  </si>
  <si>
    <t>2020-2021</t>
  </si>
  <si>
    <t>2021-2022</t>
  </si>
  <si>
    <r>
      <t>Evolutie ten opzichte van vorig schooljaar</t>
    </r>
    <r>
      <rPr>
        <sz val="8"/>
        <rFont val="Calibri"/>
        <family val="2"/>
      </rPr>
      <t>  </t>
    </r>
  </si>
  <si>
    <t>Gewoon kleuteronderwijs</t>
  </si>
  <si>
    <t>Buitengewoon kleuteronderwijs</t>
  </si>
  <si>
    <t>Gewoon lager onderwijs</t>
  </si>
  <si>
    <t>Buitengewoon lager onderwijs</t>
  </si>
  <si>
    <t>Gewoon secundair onderwijs</t>
  </si>
  <si>
    <t>Buitengewoon secundair onderwijs</t>
  </si>
  <si>
    <t>Deeltijds secundair onderwijs</t>
  </si>
  <si>
    <t>Deeltijds kunstonderwijs</t>
  </si>
  <si>
    <t>HBO Verpleegkunde*</t>
  </si>
  <si>
    <t>Totaal</t>
  </si>
  <si>
    <t>*Vanaf het schooljaar 2009-2010 is de studierichting verpleegkunde van de vierde graad omgevormd tot HBO verpleegkunde. HBO maakt officieel deel uit van het hoger onderwijs. Binnen het HBO wordt alleen de studierichting verpleegkunde door secundaire scholen ingericht.</t>
  </si>
  <si>
    <t>Tabel 3.2: aantal internen</t>
  </si>
  <si>
    <t>Evolutie ten opzichte van vorig schooljaar</t>
  </si>
  <si>
    <t>Tabel 3.3: aantal gesubsidieerde en gefinancierde instellingen</t>
  </si>
  <si>
    <t>Aantal scholen</t>
  </si>
  <si>
    <t>Gewoon basis*</t>
  </si>
  <si>
    <t>Autonome kleuterscholen</t>
  </si>
  <si>
    <t>Autonome lagere scholen</t>
  </si>
  <si>
    <t>Basisscholen</t>
  </si>
  <si>
    <t>2.103**</t>
  </si>
  <si>
    <t>Buitengewoon basis</t>
  </si>
  <si>
    <t>Basisscholen type 5</t>
  </si>
  <si>
    <t>Basisscholen type 5 (ziekenhuisscholen)</t>
  </si>
  <si>
    <t>Gewoon secundair</t>
  </si>
  <si>
    <t>Voltijds</t>
  </si>
  <si>
    <t>Deeltijds autonoom</t>
  </si>
  <si>
    <t>Deeltijds niet autonoom</t>
  </si>
  <si>
    <t>Totaal***</t>
  </si>
  <si>
    <t>Buitengewoon secundair</t>
  </si>
  <si>
    <t>BuSo-scholen</t>
  </si>
  <si>
    <t>Secundaire ziekenhuisscholen</t>
  </si>
  <si>
    <t>Secundaire school type 5</t>
  </si>
  <si>
    <t>DKO</t>
  </si>
  <si>
    <t>Beeldende kunst</t>
  </si>
  <si>
    <t>Muziek, woordkunst, dans</t>
  </si>
  <si>
    <t>Kunstacademies</t>
  </si>
  <si>
    <r>
      <t>CL</t>
    </r>
    <r>
      <rPr>
        <sz val="11"/>
        <color rgb="FF000000"/>
        <rFont val="Calibri"/>
        <family val="2"/>
        <scheme val="minor"/>
      </rPr>
      <t>B</t>
    </r>
  </si>
  <si>
    <t>Internaten</t>
  </si>
  <si>
    <t>Gewoon basis-en secundair</t>
  </si>
  <si>
    <t>MPIGO's</t>
  </si>
  <si>
    <t>Semi-internaten</t>
  </si>
  <si>
    <t>IPO's</t>
  </si>
  <si>
    <t>IBSOGO's</t>
  </si>
  <si>
    <t>Autonoom internaat BuSo (tehuis)</t>
  </si>
  <si>
    <t>Tehuizen kinderen van wie de ouders geen vast verblijfplaats hebben</t>
  </si>
  <si>
    <t>Tehuis van het Gemeenschapsonderwijs dat instaat voor de opname van jongeren in het kader van de hulp- en bijstandsregeling</t>
  </si>
  <si>
    <t>*Inclusief de acht Franstalige basisscholen en de Franstalige afdeling te Ronse.</t>
  </si>
  <si>
    <t>**Inclusief één eerder erkende maar vóór 2017-2018 nog geen gesubsidieerde school.</t>
  </si>
  <si>
    <t>***Een centrum voor deeltijds beroepssecundair onderwijs kan ofwel autonoom zijn ofwel verbonden zijn aan een school voor gewoon voltijds secundair onderwijs. In het tweede geval wordt het CDO als een onderdeel beschouwd van de voltijdse school.</t>
  </si>
  <si>
    <t>Tabel 3.4: werkingsmiddelen in het basisonderwijs*</t>
  </si>
  <si>
    <t>Werkingsmiddelen gewoon basisonderwijs</t>
  </si>
  <si>
    <t>€</t>
  </si>
  <si>
    <t>GO!**</t>
  </si>
  <si>
    <t>VGO</t>
  </si>
  <si>
    <t>OGO</t>
  </si>
  <si>
    <t>Werkingsmiddelen buitengewoon basisonderwijs</t>
  </si>
  <si>
    <r>
      <t>2019-2020</t>
    </r>
    <r>
      <rPr>
        <sz val="11"/>
        <rFont val="Calibri"/>
        <family val="2"/>
      </rPr>
      <t>  </t>
    </r>
  </si>
  <si>
    <t>*Inclusief type 5-scholen en Franstalige scholen</t>
  </si>
  <si>
    <t>**Het betreft de dotaties die de Raad van het Gemeenschapsonderwijs verdeelt over de verschillende scholengroepen (exclusief inhoudingen)</t>
  </si>
  <si>
    <t>Tabel 3.5: samenstelling van de werkingsmiddelen in het basisonderwijs</t>
  </si>
  <si>
    <t>Werkingsmiddelen gewoon basisonderwijs 2021-2022: samenstelling</t>
  </si>
  <si>
    <t>Basisbedrag</t>
  </si>
  <si>
    <t xml:space="preserve">Bedrag leerlingen- kenmerken </t>
  </si>
  <si>
    <t>Objectieve verschillen</t>
  </si>
  <si>
    <t xml:space="preserve">LBV * </t>
  </si>
  <si>
    <t>Neutraliteit</t>
  </si>
  <si>
    <t>GO!</t>
  </si>
  <si>
    <t>Werkingsmiddelen buitengewoon basisonderwijs 2021-2022: samenstelling</t>
  </si>
  <si>
    <t>nvt</t>
  </si>
  <si>
    <t>*LBV = levensbeschouwelijke vakken</t>
  </si>
  <si>
    <t>Werkingsmiddelen gewoon basisonderwijs 2020-2021: samenstelling</t>
  </si>
  <si>
    <t>Werkingsmiddelen buitengewoon basisonderwijs 2020-2021: samenstelling</t>
  </si>
  <si>
    <t>Werkingsmiddelen gewoon basisonderwijs 2019-2020: samenstelling</t>
  </si>
  <si>
    <t>Werkingsmiddelen buitengewoon basisonderwijs 2019-2020: samenstelling</t>
  </si>
  <si>
    <t>Werkingsmiddelen gewoon basisonderwijs 2018-2019: samenstelling</t>
  </si>
  <si>
    <t xml:space="preserve">Basisbedrag     </t>
  </si>
  <si>
    <t>LBV*</t>
  </si>
  <si>
    <t>-</t>
  </si>
  <si>
    <t>Werkingsmiddelen buitengewoon basisonderwijs 2018-2019: samenstelling</t>
  </si>
  <si>
    <t xml:space="preserve">Basisbedrag   </t>
  </si>
  <si>
    <t>Bedrag leerlingen- kenmerken</t>
  </si>
  <si>
    <t>n.v.t.</t>
  </si>
  <si>
    <t>Tabel 3.6: werkingsmiddelen in het secundair onderwijs</t>
  </si>
  <si>
    <t>Werkingsmiddelen gewoon secundair onderwijs</t>
  </si>
  <si>
    <t>Aantal instellingen</t>
  </si>
  <si>
    <t>GO!*</t>
  </si>
  <si>
    <t xml:space="preserve">*Voor het GO! vermeldt de tabel de dotaties die de Raad van het Gemeenschapsonderwijs ontvangt. De dotaties zijn verdeeld over de verschillende scholengroepen (exclusief inhoudingen). </t>
  </si>
  <si>
    <t>Werkingsmiddelen buitengewoon secundair onderwijs</t>
  </si>
  <si>
    <t>Tabel 3.7: samenstelling van de werkingsmiddelen in het secundair onderwijs</t>
  </si>
  <si>
    <t>Werkingsmiddelen gewoon secundair onderwijs 2021-2022: samenstelling</t>
  </si>
  <si>
    <t xml:space="preserve">Bedrag leerlingenkenmerken </t>
  </si>
  <si>
    <t>VGO**</t>
  </si>
  <si>
    <t>** De centra voor vorming van zelfstandigen en kleine en middelgrote ondernemingen (Syntra's) ontvangen vanaf het schooljaar 2019-2020 ook werkingsmiddelen voor het duaal onderwijs. Die budgetten zijn hier mee opgenomen.</t>
  </si>
  <si>
    <t>*LBV = Levensbeschouwelijke vakken</t>
  </si>
  <si>
    <t>Werkingsmiddelen buitengewoon secundair onderwijs 2021-2022: samenstelling</t>
  </si>
  <si>
    <t>Werkingsmiddelen gewoon secundair onderwijs 2020-2021: samenstelling</t>
  </si>
  <si>
    <t>** De centra voor vorming van zelfstandigen en kleine en middelgrote ondernemingen (Syntra's) ontvangen van het schooljaar 2019-2020 ook werkingsmiddelen voor het duaal onderwijs. Die budgetten zijn hier mee opgenomen.</t>
  </si>
  <si>
    <t>Werkingsmiddelen buitengewoon secundair onderwijs 2020-2021: samenstelling</t>
  </si>
  <si>
    <t>Werkingsmiddelen gewoon secundair onderwijs 2019-2020: samenstelling</t>
  </si>
  <si>
    <t>Werkingsmiddelen buitengewoon secundair onderwijs 2019-2020: samenstelling</t>
  </si>
  <si>
    <r>
      <t>Werkingsmiddelen gewoon secundair onderwijs 2018-2019: samenstelling</t>
    </r>
    <r>
      <rPr>
        <sz val="11"/>
        <color theme="1"/>
        <rFont val="Calibri"/>
        <family val="2"/>
        <scheme val="minor"/>
      </rPr>
      <t> </t>
    </r>
  </si>
  <si>
    <r>
      <t> </t>
    </r>
    <r>
      <rPr>
        <sz val="11"/>
        <color theme="1"/>
        <rFont val="Calibri"/>
        <family val="2"/>
        <scheme val="minor"/>
      </rPr>
      <t> </t>
    </r>
  </si>
  <si>
    <r>
      <t>Objectieve verschillen</t>
    </r>
    <r>
      <rPr>
        <sz val="11"/>
        <color theme="1"/>
        <rFont val="Calibri"/>
        <family val="2"/>
        <scheme val="minor"/>
      </rPr>
      <t> </t>
    </r>
  </si>
  <si>
    <r>
      <t>Totaal</t>
    </r>
    <r>
      <rPr>
        <sz val="11"/>
        <color theme="1"/>
        <rFont val="Calibri"/>
        <family val="2"/>
        <scheme val="minor"/>
      </rPr>
      <t> </t>
    </r>
  </si>
  <si>
    <r>
      <t>Neutraliteit</t>
    </r>
    <r>
      <rPr>
        <sz val="11"/>
        <color theme="1"/>
        <rFont val="Calibri"/>
        <family val="2"/>
        <scheme val="minor"/>
      </rPr>
      <t> </t>
    </r>
  </si>
  <si>
    <t>GO! </t>
  </si>
  <si>
    <t>VGO </t>
  </si>
  <si>
    <t>- </t>
  </si>
  <si>
    <t>OGO </t>
  </si>
  <si>
    <r>
      <t>Werkingsmiddelen buitengewoon secundair onderwijs 2018-2019: samenstelling</t>
    </r>
    <r>
      <rPr>
        <sz val="11"/>
        <color theme="1"/>
        <rFont val="Calibri"/>
        <family val="2"/>
        <scheme val="minor"/>
      </rPr>
      <t> </t>
    </r>
  </si>
  <si>
    <r>
      <t>Basisbedrag</t>
    </r>
    <r>
      <rPr>
        <sz val="11"/>
        <color theme="1"/>
        <rFont val="Calibri"/>
        <family val="2"/>
        <scheme val="minor"/>
      </rPr>
      <t> </t>
    </r>
  </si>
  <si>
    <t xml:space="preserve">Tabel 3.8: bijkomende toelagen in het basisonderwijs </t>
  </si>
  <si>
    <r>
      <t>Bijkomende toelagen in het basisonderwijs</t>
    </r>
    <r>
      <rPr>
        <sz val="11"/>
        <rFont val="Calibri"/>
        <family val="2"/>
        <scheme val="minor"/>
      </rPr>
      <t> </t>
    </r>
  </si>
  <si>
    <t>Instellingen</t>
  </si>
  <si>
    <t xml:space="preserve">Instellingen </t>
  </si>
  <si>
    <t>Toelage ondersteuningsmodel</t>
  </si>
  <si>
    <t>Nascholing</t>
  </si>
  <si>
    <t>Anderstalige nieuwkomers</t>
  </si>
  <si>
    <t>ICT-middelen</t>
  </si>
  <si>
    <t>Onderwijs aan huis*</t>
  </si>
  <si>
    <t>Gemeenschapsbijdrage</t>
  </si>
  <si>
    <t>DMOB  - K-diensten</t>
  </si>
  <si>
    <t>Inspectie LBV</t>
  </si>
  <si>
    <t>Totaal:</t>
  </si>
  <si>
    <t>Extra toelage corona in 2020: ICT-coördinatie</t>
  </si>
  <si>
    <t>Extra toelage corona in 2020: ICT-middelen voor digitaal afstandsonderwijs</t>
  </si>
  <si>
    <t>Extra toelage corona in 2020 voor de gemaakte onkosten bij de heropstart van de scholen</t>
  </si>
  <si>
    <t>Extra toelage corona in 2020: compensatie voor gederfde inkomsten en geannuleerde schooluitstappen</t>
  </si>
  <si>
    <t>Toelage corona voor hygiëne- en veiligheidsmaatregelen - trimester 2 en 3</t>
  </si>
  <si>
    <t>Toelage corona: CO2-meters en zelftests</t>
  </si>
  <si>
    <t>Toelage voor de professionalisering van ondersteuners</t>
  </si>
  <si>
    <t>ICT-middelen in het kader van Digisprong</t>
  </si>
  <si>
    <t>Toelage voor ICT-materiaal voor leerkrachten</t>
  </si>
  <si>
    <t>Toelage voor het volgen van ICT-opleidingen</t>
  </si>
  <si>
    <t>Extra werkingsbudget naar aanleiding van de Oekraïnecrisis - sj 21-22</t>
  </si>
  <si>
    <t>Extra werkingsbudget naar aanleiding van de Oekraïnecrisis - sj 22-23 hertelling oktober**</t>
  </si>
  <si>
    <t>Extra werkingsbudget naar aanleiding van de Oekraïnecrisis - sj 22-23 AN jonger dan 5 jaar**</t>
  </si>
  <si>
    <t>Extra werkingsbudget ter compensatie energiefacturen 2022</t>
  </si>
  <si>
    <t>* De toelagen onderwijs aan huis zijn berekend per kalenderjaar. In het kalenderjaar 2022 zijn de toelagen uitbetaald van de reiskosten gemaakt in het kalenderjaar 2021.</t>
  </si>
  <si>
    <t>** Deze toelage werd uitbetaald in kalenderjaar 2022 voor schooljaar 2022-2023.</t>
  </si>
  <si>
    <t>Tabel 3.9: bijkomende toelagen in het secundair onderwijs</t>
  </si>
  <si>
    <t>Soort toelage</t>
  </si>
  <si>
    <t>2016-2017 </t>
  </si>
  <si>
    <t>2017-2018 </t>
  </si>
  <si>
    <r>
      <t>84</t>
    </r>
    <r>
      <rPr>
        <sz val="11"/>
        <rFont val="Calibri"/>
        <family val="2"/>
      </rPr>
      <t> </t>
    </r>
  </si>
  <si>
    <t>Deeltijdse vorming</t>
  </si>
  <si>
    <t>Investering didactische uitrustingsgoederen</t>
  </si>
  <si>
    <t>Omzetting uren-leraar naar krediet Syntra</t>
  </si>
  <si>
    <t>Project schoolbank op de werkplek</t>
  </si>
  <si>
    <t>Toelage relanceplan 2e schijf Digisprong**</t>
  </si>
  <si>
    <t>Toelage relanceplan Van Kwetsbaar naar Weerbaar</t>
  </si>
  <si>
    <t>Toelage maatregelen corona</t>
  </si>
  <si>
    <t>Toelage professionalisering ondersteuners</t>
  </si>
  <si>
    <t>Toelage CO2-meters en zelftesten</t>
  </si>
  <si>
    <t>Toelage ICT-toestellen voor leerkrachten</t>
  </si>
  <si>
    <t>Extra werkingsbudget naar aanleiding van de Oekraïnecrisis - sj 22-23 hertelling oktober***</t>
  </si>
  <si>
    <t>Extra werkingsbudget ter compensatie energiefacturen</t>
  </si>
  <si>
    <t>project duaal lesgeven</t>
  </si>
  <si>
    <t>*De toelagen onderwijs aan huis zijn berekend per kalenderjaar. In het kalenderjaar 2022 werden de toelagen uitbetaald voor het kalenderjaar 2021.</t>
  </si>
  <si>
    <t xml:space="preserve">** Deze toelage werd uitbetaald in kalenderjaar 2022 </t>
  </si>
  <si>
    <t>*** Deze toelage werd uitbetaald in kalenderjaar 2022 voor het schooljaar 2022-2023</t>
  </si>
  <si>
    <t>Tabel 3.10: werkingsmiddelen voor de CLB’s     </t>
  </si>
  <si>
    <t xml:space="preserve">2019-2020 </t>
  </si>
  <si>
    <t xml:space="preserve">Evolutie ten opzichte van vorig schooljaar </t>
  </si>
  <si>
    <t>Tabel 3.11: toelagen voor systematische contacten door CLB’s</t>
  </si>
  <si>
    <t>Tabel 3.12: toelagen voor nascholing voor CLB’s</t>
  </si>
  <si>
    <t xml:space="preserve">GO! </t>
  </si>
  <si>
    <t xml:space="preserve">VGO </t>
  </si>
  <si>
    <t xml:space="preserve">OGO </t>
  </si>
  <si>
    <t>Tabel 3.13: extra toelagen voor CLB’s</t>
  </si>
  <si>
    <t>Toelage ter versterking van de CLB-sector ter ondersteuning van scholen en leerlingen 2021-2022</t>
  </si>
  <si>
    <t>Toelage voor onthaal en begeleiding van Oekraïense leerlingen 2021-2022</t>
  </si>
  <si>
    <t>Toelage voor het onthaal en de begeleiding van Oekraïense leerlingen door de permanente ondersteuningscellen 2022</t>
  </si>
  <si>
    <t>Extra werkingsbudget ter compensatie energiefacturen 2022-2023</t>
  </si>
  <si>
    <t>Extra toelage voor contacttracing</t>
  </si>
  <si>
    <t>Extra toelage voor LARS</t>
  </si>
  <si>
    <t>Extra toelage voor extra kosten voor schoonmaakpersoneel en hygiëne- en veiligheidsmateriaal</t>
  </si>
  <si>
    <t>Extra toelage voor extra kosten voor schoonmaakpersoneel</t>
  </si>
  <si>
    <t>Tabel 3.14: werkingsmiddelen voor de internaten</t>
  </si>
  <si>
    <r>
      <t>2016-2017</t>
    </r>
    <r>
      <rPr>
        <sz val="11"/>
        <color theme="1"/>
        <rFont val="Calibri"/>
        <family val="2"/>
        <scheme val="minor"/>
      </rPr>
      <t> </t>
    </r>
  </si>
  <si>
    <r>
      <t>€</t>
    </r>
    <r>
      <rPr>
        <sz val="11"/>
        <color theme="1"/>
        <rFont val="Calibri"/>
        <family val="2"/>
        <scheme val="minor"/>
      </rPr>
      <t> </t>
    </r>
  </si>
  <si>
    <r>
      <t>Aantal instellingen</t>
    </r>
    <r>
      <rPr>
        <sz val="11"/>
        <color theme="1"/>
        <rFont val="Calibri"/>
        <family val="2"/>
        <scheme val="minor"/>
      </rPr>
      <t> </t>
    </r>
  </si>
  <si>
    <t>Bijkomende werkingsmiddelen voor de internaten</t>
  </si>
  <si>
    <t>GO! *</t>
  </si>
  <si>
    <t>*Het GO! ontvangt geen bijkomende werkingsmiddelen voor de internaten.</t>
  </si>
  <si>
    <t>Tabel 3.15: Bijkomende toelagen voor internaten</t>
  </si>
  <si>
    <t>Extra toelage internen met een jeugdhulpverleningsbeslissing</t>
  </si>
  <si>
    <t>Extra toelage corona uitzonderlijke opvang jongeren in het internaat</t>
  </si>
  <si>
    <t>Extra werkingsbudget ter compensatie van energiefacturen 2022</t>
  </si>
  <si>
    <t xml:space="preserve">Extra toelage corona uitzonderlijke opvang internen </t>
  </si>
  <si>
    <t xml:space="preserve">Extra toelage corona hygiënemaatregelen </t>
  </si>
  <si>
    <t>Extra toelage corona uitzonderlijke opvang internen (maart – juni 2020)</t>
  </si>
  <si>
    <t>Tabel 3.16: werkingsmiddelen in het dko</t>
  </si>
  <si>
    <t>Schooljaar </t>
  </si>
  <si>
    <t xml:space="preserve">Totaal </t>
  </si>
  <si>
    <t>Tabel 3.17: bijkomende toelagen in het dko</t>
  </si>
  <si>
    <t>Schooljaar</t>
  </si>
  <si>
    <r>
      <t>ICT-middelen</t>
    </r>
    <r>
      <rPr>
        <sz val="11"/>
        <rFont val="Calibri"/>
        <family val="2"/>
        <scheme val="minor"/>
      </rPr>
      <t>*</t>
    </r>
  </si>
  <si>
    <t>Coronatoelage</t>
  </si>
  <si>
    <t>Toelage corona: CO2-meters en zelftests**</t>
  </si>
  <si>
    <t>Toelage voor ICT-materiaal voor leerkrachten**</t>
  </si>
  <si>
    <t>Toelage voor het volgen van ICT-opleidingen ***</t>
  </si>
  <si>
    <t>Extra werkingsbudget ter compensatie energiefacturen***</t>
  </si>
  <si>
    <t>*Alleen voor academies die toetreden tot een samenwerkingsplatform</t>
  </si>
  <si>
    <t>** Deze toelage werd uitbetaald in kalenderjaar 2021</t>
  </si>
  <si>
    <t>*** Deze toelage werd uitbetaald in kalenderjaar 2022</t>
  </si>
  <si>
    <t>Tabel 3.18: tarieven in het dko</t>
  </si>
  <si>
    <t>Tarieven in €</t>
  </si>
  <si>
    <t>Soort tarief</t>
  </si>
  <si>
    <t>Volledig tarief voor volwassenen</t>
  </si>
  <si>
    <t>Verminderd tarief voor volwassenen</t>
  </si>
  <si>
    <t>Volledig tarief voor jongeren</t>
  </si>
  <si>
    <t>Verminderd tarief voor jongeren</t>
  </si>
  <si>
    <t>Tabel 3.19: inschrijvingsgelden in het dko</t>
  </si>
  <si>
    <t>Tabel 3.20: werkingsmiddelen en toelagen voor de PBD</t>
  </si>
  <si>
    <t>Aantal PBD</t>
  </si>
  <si>
    <t>Werkingsmiddelen</t>
  </si>
  <si>
    <t>Aanvullende werkingsmiddelen - gelijke kansen</t>
  </si>
  <si>
    <t>Extra ondersteuning VVB</t>
  </si>
  <si>
    <t>Aanvullende werkingsmiddelen brede en verhoogde zorg</t>
  </si>
  <si>
    <t>Aanvullende werkingsmiddelen effectieve didactiek</t>
  </si>
  <si>
    <t>Tabel 3.21: overzicht omkadering in het gewoon basisonderwijs</t>
  </si>
  <si>
    <t>Omkadering gewoon basisonderwijs</t>
  </si>
  <si>
    <r>
      <t>2016-2017</t>
    </r>
    <r>
      <rPr>
        <sz val="11"/>
        <color rgb="FF000000"/>
        <rFont val="Calibri"/>
        <family val="2"/>
        <scheme val="minor"/>
      </rPr>
      <t> </t>
    </r>
  </si>
  <si>
    <r>
      <t>LT</t>
    </r>
    <r>
      <rPr>
        <sz val="11"/>
        <color rgb="FF000000"/>
        <rFont val="Calibri"/>
        <family val="2"/>
        <scheme val="minor"/>
      </rPr>
      <t> </t>
    </r>
  </si>
  <si>
    <r>
      <t>Aantal scholen</t>
    </r>
    <r>
      <rPr>
        <sz val="11"/>
        <color rgb="FF000000"/>
        <rFont val="Calibri"/>
        <family val="2"/>
        <scheme val="minor"/>
      </rPr>
      <t> </t>
    </r>
  </si>
  <si>
    <t>LT</t>
  </si>
  <si>
    <t>Lestijden volgens de schalen</t>
  </si>
  <si>
    <t>Instaplestijden</t>
  </si>
  <si>
    <t>Lestijden capaciteit plus</t>
  </si>
  <si>
    <t>Lestijden capaciteit min</t>
  </si>
  <si>
    <t>SES-lestijden</t>
  </si>
  <si>
    <t>Lestijden leerlingen/leerkracht ratio</t>
  </si>
  <si>
    <t>Lestijden Godsdienst-NCZ-cultuurbeschouwing</t>
  </si>
  <si>
    <t>Lestijden anderstalige nieuwkomers (AN)*</t>
  </si>
  <si>
    <t>Lestijden gewezen anderstalige nieuwkomers(GAN)</t>
  </si>
  <si>
    <t>Uren kinderverzorging</t>
  </si>
  <si>
    <t>Punten ICT</t>
  </si>
  <si>
    <t>Punten Administratieve Ondersteuning</t>
  </si>
  <si>
    <t>Punten Zorgcoördinatie</t>
  </si>
  <si>
    <t>Punten Stimulus</t>
  </si>
  <si>
    <t>Eenheden korte vervanging</t>
  </si>
  <si>
    <t>Lerarenplatforms</t>
  </si>
  <si>
    <t>Aanvangsbegeleiding</t>
  </si>
  <si>
    <t>Bijsprong</t>
  </si>
  <si>
    <t>Ondersteuning kerntaak</t>
  </si>
  <si>
    <t>Samen school maken</t>
  </si>
  <si>
    <t>*Situatie telkens op 1 januari</t>
  </si>
  <si>
    <t>Tabel 3.22: overzicht omkadering in het buitengewoon basisonderwijs  </t>
  </si>
  <si>
    <t>Omkadering buitengewoon onderwijs</t>
  </si>
  <si>
    <t>Lestijden volgens de schalen (inclusief lestijden meerderheidscursus levensbeschouwelijke vakken)</t>
  </si>
  <si>
    <t>Urenpakket paramedisch externaat</t>
  </si>
  <si>
    <t>Lestijden minderheidscursus levensbeschouwelijke vakken</t>
  </si>
  <si>
    <t>Lestijden rand- en taalgrensgemeenten</t>
  </si>
  <si>
    <t>Lestijden Gelijke Onderwijskansen (GOK)</t>
  </si>
  <si>
    <t>Afwijkingslestijden en uren (noodsituaties)</t>
  </si>
  <si>
    <t>Lestijden ondersteuningsmodel</t>
  </si>
  <si>
    <t>Urenpakket ondersteuningsmodel</t>
  </si>
  <si>
    <t>Eenheden ondersteuningsmodel</t>
  </si>
  <si>
    <t>Lestijden coördinatie ondersteuningsnetwerken</t>
  </si>
  <si>
    <t>Eenheden Korte Vervanging</t>
  </si>
  <si>
    <t>Lestijden aanvangsbegeleiding</t>
  </si>
  <si>
    <t>Specifieke instellingen voor het buitengewoon onderwijs in het GO!</t>
  </si>
  <si>
    <t>Totaal urenpakket internaat</t>
  </si>
  <si>
    <t>- Urenpakket internaat</t>
  </si>
  <si>
    <t>- Bijkomend urenpakket slapende waak</t>
  </si>
  <si>
    <t>Beheerder internaat</t>
  </si>
  <si>
    <t>Ambten semi-internaat</t>
  </si>
  <si>
    <t xml:space="preserve">Urenpakket internaten met permanente openstelling (IPO) </t>
  </si>
  <si>
    <t>Tabel 23: overzicht omkadering in het secundair onderwijs</t>
  </si>
  <si>
    <t>Gewoon voltijds secundair onderwijs</t>
  </si>
  <si>
    <t>Uren volgens schalen (Aantal toegekende uren-leraar, incl. LBV, op teldatum school.)</t>
  </si>
  <si>
    <t>Ambten teeltleider</t>
  </si>
  <si>
    <t>Uren GOK</t>
  </si>
  <si>
    <t>668 </t>
  </si>
  <si>
    <t>Extra uren OKAN  (1 oktober)</t>
  </si>
  <si>
    <t>78 </t>
  </si>
  <si>
    <t>Samen school maken (SO +DBSO)</t>
  </si>
  <si>
    <t>Deeltijds beroepssecundair onderwijs</t>
  </si>
  <si>
    <t>Uren volgens schalen</t>
  </si>
  <si>
    <t>Uren OKAN (1 oktober)</t>
  </si>
  <si>
    <t>22 </t>
  </si>
  <si>
    <t>Uren onderwijzend personeel</t>
  </si>
  <si>
    <t>Extra lesuren duaal</t>
  </si>
  <si>
    <t>Uren paramedisch personeel</t>
  </si>
  <si>
    <t>Lesuren minderheidscursus levensbeschouwelijke vakken</t>
  </si>
  <si>
    <t>GOK</t>
  </si>
  <si>
    <t>Afwijkingslesuren en uren ‘noodsituaties’</t>
  </si>
  <si>
    <t>Begeleidingseenheden GON/ION</t>
  </si>
  <si>
    <t>Lesuren en -uren waarborgregeling</t>
  </si>
  <si>
    <t>Lesuren ondersteuningsmodel</t>
  </si>
  <si>
    <t>Uren ondersteuningsmodel</t>
  </si>
  <si>
    <t>80 </t>
  </si>
  <si>
    <t>Lesuren coördinatie ondersteuningsnetwerken</t>
  </si>
  <si>
    <t>16 </t>
  </si>
  <si>
    <t>Urenpakket internaat</t>
  </si>
  <si>
    <t xml:space="preserve">Bijkomend urenpakket slapende waak </t>
  </si>
  <si>
    <t>Urenpakket internaten met permanente openstelling</t>
  </si>
  <si>
    <t>Secundair onderwijs</t>
  </si>
  <si>
    <t>Incentive duaal</t>
  </si>
  <si>
    <t>Scholengemeenschappen</t>
  </si>
  <si>
    <t>Extra uren scholengemeenschappen</t>
  </si>
  <si>
    <t>Globale puntenenveloppe</t>
  </si>
  <si>
    <t>Scholen SO niet in een scholengemeenschap</t>
  </si>
  <si>
    <t>Scholen BuSo niet in scholengemeenschap</t>
  </si>
  <si>
    <t>Tabel 3.24: omkaderingsgewichten voor de CLB’s</t>
  </si>
  <si>
    <t>Omkaderingsgewichten </t>
  </si>
  <si>
    <t>Tabel 3.25: Overzicht omkadering internaten in het basis- en secundair onderwijs</t>
  </si>
  <si>
    <r>
      <t> </t>
    </r>
    <r>
      <rPr>
        <sz val="11"/>
        <color rgb="FF000000"/>
        <rFont val="Calibri"/>
        <family val="2"/>
        <scheme val="minor"/>
      </rPr>
      <t> </t>
    </r>
  </si>
  <si>
    <r>
      <t>2017-2018</t>
    </r>
    <r>
      <rPr>
        <sz val="11"/>
        <color rgb="FF000000"/>
        <rFont val="Calibri"/>
        <family val="2"/>
        <scheme val="minor"/>
      </rPr>
      <t> </t>
    </r>
  </si>
  <si>
    <r>
      <t>2018-2019</t>
    </r>
    <r>
      <rPr>
        <sz val="11"/>
        <color rgb="FF000000"/>
        <rFont val="Calibri"/>
        <family val="2"/>
        <scheme val="minor"/>
      </rPr>
      <t> </t>
    </r>
  </si>
  <si>
    <r>
      <t>Beheerders</t>
    </r>
    <r>
      <rPr>
        <sz val="11"/>
        <color rgb="FF000000"/>
        <rFont val="Calibri"/>
        <family val="2"/>
        <scheme val="minor"/>
      </rPr>
      <t> </t>
    </r>
  </si>
  <si>
    <r>
      <t>Opvoeders</t>
    </r>
    <r>
      <rPr>
        <sz val="11"/>
        <color rgb="FF000000"/>
        <rFont val="Calibri"/>
        <family val="2"/>
        <scheme val="minor"/>
      </rPr>
      <t> </t>
    </r>
  </si>
  <si>
    <r>
      <t>Internaten</t>
    </r>
    <r>
      <rPr>
        <sz val="11"/>
        <color rgb="FF000000"/>
        <rFont val="Calibri"/>
        <family val="2"/>
        <scheme val="minor"/>
      </rPr>
      <t> </t>
    </r>
  </si>
  <si>
    <t>30 </t>
  </si>
  <si>
    <t>138,10 </t>
  </si>
  <si>
    <t>104 </t>
  </si>
  <si>
    <t>235 </t>
  </si>
  <si>
    <t>105 </t>
  </si>
  <si>
    <t>4 </t>
  </si>
  <si>
    <t>9 </t>
  </si>
  <si>
    <t>5 </t>
  </si>
  <si>
    <r>
      <t>Totaal</t>
    </r>
    <r>
      <rPr>
        <sz val="11"/>
        <color rgb="FF000000"/>
        <rFont val="Calibri"/>
        <family val="2"/>
        <scheme val="minor"/>
      </rPr>
      <t> </t>
    </r>
  </si>
  <si>
    <r>
      <t>138</t>
    </r>
    <r>
      <rPr>
        <sz val="11"/>
        <color rgb="FF000000"/>
        <rFont val="Calibri"/>
        <family val="2"/>
        <scheme val="minor"/>
      </rPr>
      <t> </t>
    </r>
  </si>
  <si>
    <r>
      <t>140</t>
    </r>
    <r>
      <rPr>
        <sz val="11"/>
        <color rgb="FF000000"/>
        <rFont val="Calibri"/>
        <family val="2"/>
        <scheme val="minor"/>
      </rPr>
      <t> </t>
    </r>
  </si>
  <si>
    <t>Tabel 3.26: overzicht omkadering in het dko</t>
  </si>
  <si>
    <t>Aantal</t>
  </si>
  <si>
    <t>Scholen</t>
  </si>
  <si>
    <t>Uren bestuurs- en administratief personeel</t>
  </si>
  <si>
    <t>Punten ICT-coördinatie</t>
  </si>
  <si>
    <t>Additionele lestijden</t>
  </si>
  <si>
    <t>Punten Kunstkuur</t>
  </si>
  <si>
    <t>Tabel 3.27: overzicht omkadering PBD</t>
  </si>
  <si>
    <t>OGO (OVSG)</t>
  </si>
  <si>
    <t>POV</t>
  </si>
  <si>
    <t>VGO (KOV)</t>
  </si>
  <si>
    <t>Totaal aantal halftijdse betrekkingen adviseur</t>
  </si>
  <si>
    <t>Basisonderwijs</t>
  </si>
  <si>
    <t>Secundair + DKO + volwassenonderwijs</t>
  </si>
  <si>
    <t>CLB</t>
  </si>
  <si>
    <t>Omzetting halftijdse adviseurs-coördinator</t>
  </si>
  <si>
    <t>Tabel 3.28: overzicht oprichtingen, stopzettingen en structuurwijzigingen in het gewoon basisonderwijs</t>
  </si>
  <si>
    <t>Gewoon basisonderwijs</t>
  </si>
  <si>
    <t>2022-2023</t>
  </si>
  <si>
    <t>Nieuwe school</t>
  </si>
  <si>
    <t>Nieuwe school na zelfstandig worden vestigingsplaats</t>
  </si>
  <si>
    <t>Fusies van 2 scholen</t>
  </si>
  <si>
    <t>Stopzetting school</t>
  </si>
  <si>
    <t>Oprichting vestigingsplaats</t>
  </si>
  <si>
    <t>Afschaffen vestigingsplaats</t>
  </si>
  <si>
    <t>Oprichten niveau</t>
  </si>
  <si>
    <t>Afschaffen niveau</t>
  </si>
  <si>
    <t>Genadejaar (niet behalen van de rationalisatienorm)</t>
  </si>
  <si>
    <t>Tabel 3.29: overzicht oprichtingen, stopzettingen en structuurwijzigingen in het buitengewoon basisonderwijs</t>
  </si>
  <si>
    <t>Buitengewoon basisonderwijs</t>
  </si>
  <si>
    <t>Nieuwe school na afsplitsing vestigingsplaats, niveau of types</t>
  </si>
  <si>
    <t>Fusie van 2 scholen</t>
  </si>
  <si>
    <t>Afschaffing vestigingsplaats</t>
  </si>
  <si>
    <t>Oprichting niveau</t>
  </si>
  <si>
    <t>Afschaffing niveau</t>
  </si>
  <si>
    <t>Oprichting type: TBA</t>
  </si>
  <si>
    <t>Oprichting type: T2</t>
  </si>
  <si>
    <t>Oprichting type: T3</t>
  </si>
  <si>
    <t>Oprichting type: T4</t>
  </si>
  <si>
    <t>Oprichting type: T7</t>
  </si>
  <si>
    <t>Oprichting type: T9</t>
  </si>
  <si>
    <t>Afschaffen type</t>
  </si>
  <si>
    <t>Tabel 3.30: overzicht programmatieaanvragen in het buitengewoon basisonderwijs</t>
  </si>
  <si>
    <t>Programmatieaanvragen</t>
  </si>
  <si>
    <t>Beslissing Vlaamse Regering</t>
  </si>
  <si>
    <t>Aanvraag nieuw type BA</t>
  </si>
  <si>
    <t>Gunstig</t>
  </si>
  <si>
    <t>Ongunstig</t>
  </si>
  <si>
    <t>Effectief gestart</t>
  </si>
  <si>
    <t>Aanvraag nieuw type 2</t>
  </si>
  <si>
    <t>Aanvraag nieuw type 3</t>
  </si>
  <si>
    <t>Aanvraag nieuw type 4</t>
  </si>
  <si>
    <t>Aanvraag nieuw type 7</t>
  </si>
  <si>
    <t>Aanvraag nieuw type 9</t>
  </si>
  <si>
    <t>Tabel 3.31: overzicht herstructureringen in het gewoon secundair onderwijs*</t>
  </si>
  <si>
    <t>Fusie door opslorping</t>
  </si>
  <si>
    <t>Eigenlijke fusie</t>
  </si>
  <si>
    <t>Fusie gevolgd door afsplitsing (waarbij het aantal scholen gelijk blijft)</t>
  </si>
  <si>
    <t>Afsplitsing van een bestaande school (waarbij een nieuw schoolnummer wordt toegekend)</t>
  </si>
  <si>
    <t>Gesloten school</t>
  </si>
  <si>
    <t>*In het deeltijds secundair onderwijs is er ook 1 autonoom CDO overgegaan naar een niet-autonoom CDO</t>
  </si>
  <si>
    <t>Tabel 3.32: overzicht programmatieaanvragen in het gewoon secundair onderwijs</t>
  </si>
  <si>
    <t>Niet-programmeerbare structuuronderdelen*</t>
  </si>
  <si>
    <t>Schooljaar 2017-2018</t>
  </si>
  <si>
    <t xml:space="preserve">Schooljaar 2018-2019 </t>
  </si>
  <si>
    <t xml:space="preserve">Schooljaar 2019-2020 </t>
  </si>
  <si>
    <t>Schooljaar 2020-2021</t>
  </si>
  <si>
    <t>Schooljaar 2021-2022</t>
  </si>
  <si>
    <t>Schooljaar 2022-2023</t>
  </si>
  <si>
    <t>Aanvragen</t>
  </si>
  <si>
    <t>Structuuronderdelen waarvoor beslissing VR nodig is</t>
  </si>
  <si>
    <t>Schooljaar 2018-2019</t>
  </si>
  <si>
    <t xml:space="preserve">Schooljaar 2020-2021 </t>
  </si>
  <si>
    <t>Duale structuuronderdelen waarvoor beslissing VR nodig is</t>
  </si>
  <si>
    <r>
      <t>*Vanaf het schooljaar 2016-2017 bedoelt men met structuuronderdelen waarvoor een beslissing van de Vlaamse Regering nodig is, de niet-programmeerbare structuuronderdelen op basis van inruil. Het schooljaar ervoor ging het om structuuronderdelen die niet op de lijst van de vrij-programmeerbare structuuronderdelen en niet op de lijst van de niet-programmeerbare structuuronderdelen stonden. Het decreet modernisering secundair onderwijs heeft de categorie van de niet-programmeerbare structuuronderdelen afgeschaft.</t>
    </r>
    <r>
      <rPr>
        <i/>
        <u/>
        <sz val="10"/>
        <rFont val="Calibri"/>
        <family val="2"/>
        <scheme val="minor"/>
      </rPr>
      <t xml:space="preserve"> </t>
    </r>
  </si>
  <si>
    <t>Tabel 3.33: overzicht programmaties, herstructureringen en fusies in het buitengewoon secundair onderwijs</t>
  </si>
  <si>
    <t>Detail</t>
  </si>
  <si>
    <t>Programmatie</t>
  </si>
  <si>
    <t>Oprichting van een opleidingsvorm</t>
  </si>
  <si>
    <t>Opleidingsvorm 1</t>
  </si>
  <si>
    <t>Opleidingsvorm 2</t>
  </si>
  <si>
    <t>Opleidingsvorm 3</t>
  </si>
  <si>
    <t>Opleidingsvorm 4</t>
  </si>
  <si>
    <t>Oprichting type in bestaande OV</t>
  </si>
  <si>
    <t>Type BA</t>
  </si>
  <si>
    <t>Type 2</t>
  </si>
  <si>
    <t>Type 3</t>
  </si>
  <si>
    <t>Type 4</t>
  </si>
  <si>
    <t>Type 6</t>
  </si>
  <si>
    <t>Type 7</t>
  </si>
  <si>
    <t>Type 9</t>
  </si>
  <si>
    <t>Herstructurering</t>
  </si>
  <si>
    <t>Nieuwe school ontstaan door fusie</t>
  </si>
  <si>
    <t>Nieuwe school ontstaan door afsplitsing</t>
  </si>
  <si>
    <t>Omvorming van een opleidingsvorm</t>
  </si>
  <si>
    <t>Oprichting van een opleiding van opleidingsvorm 3</t>
  </si>
  <si>
    <t>Omvorming van een opleiding van opleidingsvorm 3</t>
  </si>
  <si>
    <t>Opheffing van een school</t>
  </si>
  <si>
    <t>Opheffing van een opleidingsvorm</t>
  </si>
  <si>
    <t>OV 3</t>
  </si>
  <si>
    <t>Opheffing van een opleiding van opleidingsvorm 3</t>
  </si>
  <si>
    <t>Opheffing van een type</t>
  </si>
  <si>
    <t>Vestigingsplaats</t>
  </si>
  <si>
    <t>Nieuwe vestigingsplaats (excl. type 5)</t>
  </si>
  <si>
    <t>Nieuwe vestigingsplaats type 5</t>
  </si>
  <si>
    <t>Opheffing van een vestigingsplaats</t>
  </si>
  <si>
    <t>Tabel 3.34: overzicht programmatieaanvragen in het buitengewoon secundair onderwijs</t>
  </si>
  <si>
    <t>Schooljaar 2019-2020</t>
  </si>
  <si>
    <t>Type</t>
  </si>
  <si>
    <t>Soort aanvraag</t>
  </si>
  <si>
    <t>Beslissing</t>
  </si>
  <si>
    <t>Aantal aanvragen</t>
  </si>
  <si>
    <t>Aanvraag nieuw type</t>
  </si>
  <si>
    <t xml:space="preserve">Gunstig </t>
  </si>
  <si>
    <t>Aanvraag nieuw type in nieuwe OV</t>
  </si>
  <si>
    <t>Type 5</t>
  </si>
  <si>
    <t>Nieuwe vestigingsplaats</t>
  </si>
  <si>
    <t>Tabel 3.35: overzicht programmatieaanvragen structuuronderdelen in het buitengewoon secundair onderwijs</t>
  </si>
  <si>
    <t>Structuuronderdelen waarvoor een beslissing VR nodig is</t>
  </si>
  <si>
    <t>Niet-duale structuuronderdelen</t>
  </si>
  <si>
    <t>OF*</t>
  </si>
  <si>
    <t>OV3</t>
  </si>
  <si>
    <t>KF*</t>
  </si>
  <si>
    <t>IF*</t>
  </si>
  <si>
    <t>OV4</t>
  </si>
  <si>
    <t>Duale structuuronderdelen</t>
  </si>
  <si>
    <t>*OF = opleidingsfase; KF = kwalificatiefase; IF = integratiefase</t>
  </si>
  <si>
    <t>Tabel 3.36: overzicht oprichtingen, stopzettingen en structuurwijzigingen in het dko</t>
  </si>
  <si>
    <t>Nieuwe academies</t>
  </si>
  <si>
    <t>Nieuwe kunstacademies</t>
  </si>
  <si>
    <t>Fusies</t>
  </si>
  <si>
    <t>Overhevelingen</t>
  </si>
  <si>
    <t>Nieuwe vestigingsplaatsen</t>
  </si>
  <si>
    <t>Vrijwillige stopzettingen vestigingsplaatsen</t>
  </si>
  <si>
    <t>Nieuwe domeinen</t>
  </si>
  <si>
    <t>Stopzetting domeinen (niet behalen van de norm)</t>
  </si>
  <si>
    <t>Nieuwe structuuronderdelen</t>
  </si>
  <si>
    <t>Stopzetten structuuronderdelen (niet behalen van de norm)</t>
  </si>
  <si>
    <t>Onderwijsbevoegdheden</t>
  </si>
  <si>
    <t>Tabel 3.37: overzicht programmatieaanvragen in het dko</t>
  </si>
  <si>
    <t>Ongunstig/overbodig/niet-ontvankelijk</t>
  </si>
  <si>
    <t>Domeinen</t>
  </si>
  <si>
    <t>0 </t>
  </si>
  <si>
    <t>1 </t>
  </si>
  <si>
    <t>Structuuronderdelen</t>
  </si>
  <si>
    <r>
      <t>Tabel 3.38: Overzicht fusies CLB</t>
    </r>
    <r>
      <rPr>
        <sz val="8"/>
        <rFont val="Calibri"/>
        <family val="2"/>
      </rPr>
      <t> </t>
    </r>
  </si>
  <si>
    <t>Fusiebewegingen CLB</t>
  </si>
  <si>
    <t>Fusietussen 2 centra</t>
  </si>
  <si>
    <t>Fusie tussen 3 centra</t>
  </si>
  <si>
    <t>Fusie tussen 4 centra</t>
  </si>
  <si>
    <t>Tabel 3.39: subsidie voor busbegeleiding</t>
  </si>
  <si>
    <t>Evolutie ten opzichte van vorig jaar</t>
  </si>
  <si>
    <t>Aantal subsidieerbare ritten*</t>
  </si>
  <si>
    <t>Bedrag</t>
  </si>
  <si>
    <t>* Subsidiëring van busbegeleiding is pas mogelijk wanneer een voertuig minstens 7 zitplaatsen voor leerlingen telt.</t>
  </si>
  <si>
    <t>(betaald in 2018)</t>
  </si>
  <si>
    <t>(betaald in 2019)</t>
  </si>
  <si>
    <t>(betaald in 2020)</t>
  </si>
  <si>
    <t>(betaald in 2021)</t>
  </si>
  <si>
    <t>(betaald in 2022)</t>
  </si>
  <si>
    <t>Aantal fietsers</t>
  </si>
  <si>
    <t>Totale kost fietsvergoeding</t>
  </si>
  <si>
    <t>Kost per fietser</t>
  </si>
  <si>
    <t>Aantal km/eenheid op jaarbasis</t>
  </si>
  <si>
    <t>Kost per km</t>
  </si>
  <si>
    <t>Aantal gebruikers openbaar vervoer</t>
  </si>
  <si>
    <t>Totale kost openbaar vervoer</t>
  </si>
  <si>
    <t>Kost per gebruiker openbaar vervoer</t>
  </si>
  <si>
    <t>Totale kost</t>
  </si>
  <si>
    <t>Aantal scholen die dossier hebben ingediend</t>
  </si>
  <si>
    <t>Aantal BB (personeelsleden)</t>
  </si>
  <si>
    <t xml:space="preserve">Andere </t>
  </si>
  <si>
    <t>Officieel*</t>
  </si>
  <si>
    <t>Vrij</t>
  </si>
  <si>
    <t xml:space="preserve">Gewoon basisonderwijs </t>
  </si>
  <si>
    <t>Totaal 1 Gewoon onderwijs</t>
  </si>
  <si>
    <t>Totaal 1 Buitengewoon onderwijs</t>
  </si>
  <si>
    <t>Totaal 1 + 2</t>
  </si>
  <si>
    <t>*Provincie- en gemeentescholen en intercommunales</t>
  </si>
  <si>
    <t>Boekjaar 2016 (betaald in 2018)</t>
  </si>
  <si>
    <t>Boekjaar 2017 (betaald in 2019)</t>
  </si>
  <si>
    <t>Boekjaar 2018 (betaald in 2020)</t>
  </si>
  <si>
    <t>Boekjaar 2019 (betaald in 2021)</t>
  </si>
  <si>
    <t>Boekjaar 2020 (betaald in 2022)</t>
  </si>
  <si>
    <t>Totaal aantal dossiers</t>
  </si>
  <si>
    <t>Aantal schoolbesturen</t>
  </si>
  <si>
    <t>Besturen CVO en CBE</t>
  </si>
  <si>
    <t>Aantal afgekeurde aanvragen wegens geen recht op tegemoetkoming *</t>
  </si>
  <si>
    <t>Aantal 1ste aanvragen</t>
  </si>
  <si>
    <t>Aantal fusies t.o.v. voorgaand boekjaar **</t>
  </si>
  <si>
    <t>Totaal beschikbaar krediet</t>
  </si>
  <si>
    <t>Totaalbedrag aan ingediende facturen</t>
  </si>
  <si>
    <t>Toegepast percentage</t>
  </si>
  <si>
    <t>Stijgingspercentage totaalbedrag van de ingediende facturen t.o.v. jaar-1</t>
  </si>
  <si>
    <t>* Er is een recht op een tegemoetkoming als er volgens de vzw-wetgeving (artikel 3:47 $6 en artikel 1:28 $2 van het WVV) voor dat boekjaar een verplichting is om een commissaris aan te stellen voor de controle van de jaarrekening</t>
  </si>
  <si>
    <t>** Dit kan zowel een fusie zijn met een vzw die vorig jaar een aanvraag indiende, met een nieuwe vzw of beide.</t>
  </si>
  <si>
    <t>Aantal terugvorderingen</t>
  </si>
  <si>
    <t>Gecontroleerde scholen</t>
  </si>
  <si>
    <t>Scholen met overschrijding*</t>
  </si>
  <si>
    <t>33**</t>
  </si>
  <si>
    <t>Teruggevorderde uren</t>
  </si>
  <si>
    <t>* Na een eerste controle. Het aantal effectieve terugvorderingen is niet geregistreerd.</t>
  </si>
  <si>
    <t xml:space="preserve">Gecontroleerde scholengemeenschappen </t>
  </si>
  <si>
    <t>Scholengemeenschappen met overschrijding*</t>
  </si>
  <si>
    <t>29 (+5)</t>
  </si>
  <si>
    <t>30 (+4)</t>
  </si>
  <si>
    <t>14 (+12)</t>
  </si>
  <si>
    <t>30 (+12)</t>
  </si>
  <si>
    <t xml:space="preserve">Scholengemeenschappen met terugvordering </t>
  </si>
  <si>
    <t xml:space="preserve">Gecontroleerde scholen niet in scholengemeenschap </t>
  </si>
  <si>
    <t>4 (+1)</t>
  </si>
  <si>
    <t>6 (+1)</t>
  </si>
  <si>
    <t xml:space="preserve">Scholen met terugvordering </t>
  </si>
  <si>
    <t>*Na een eerste controle (+ na volgende controles)</t>
  </si>
  <si>
    <t>Verificaties basisonderwijs, CLB en DKO</t>
  </si>
  <si>
    <t xml:space="preserve"> -</t>
  </si>
  <si>
    <t>Centra voor deeltijdse vorming</t>
  </si>
  <si>
    <t>Initiële aantallen</t>
  </si>
  <si>
    <t>Correcties Rekenhof</t>
  </si>
  <si>
    <t>-30 </t>
  </si>
  <si>
    <t>Gecorrigeerde aantallen</t>
  </si>
  <si>
    <t>Aanvullende werkingsmiddelen – voormalige SNPB*</t>
  </si>
  <si>
    <t>* Die middelen zijn geschrapt vanaf schooljaar 2021-2022</t>
  </si>
  <si>
    <t>Tabel 3.40: overzicht vervoerskosten fietsers en gebruikers openbaar vervoer</t>
  </si>
  <si>
    <t>Tabel 3.41: overzicht bestaanzekerheidsvergoeding busbegeleiders basisonderwijs en secundair onderwijs</t>
  </si>
  <si>
    <t>Tabel 3.47: overzicht financierbare leerlingen na verificatie</t>
  </si>
  <si>
    <t>Tabel 3.46: overzicht gecontroleerde scholen voor gekleurde werkingsmiddelen</t>
  </si>
  <si>
    <t>Tabel 3.45: overzicht gecontroleerde scholengemeenschappen en scholen niet in een scholengemeenschap voor de aanwending van de globale puntenenveloppe</t>
  </si>
  <si>
    <t>Tabel 3.44: overzicht gecontroleerde scholen in het gewoon secundair onderwijs voor de pakketten uren/leraar</t>
  </si>
  <si>
    <t>Tabel 3.43: overzicht aantal terugvorderingen in het basisonderwijs</t>
  </si>
  <si>
    <t>Tabel 3.42: tegemoetkoming in de kosten bedrijfsrevisoren</t>
  </si>
  <si>
    <t>** Alleen die scholen werden diepgaander onderzocht die na de macrocontrole zelf een overschrijding vertoonden en die behoren tot een scholengemeenschap waarbij een totale overschrijding van meer dan 10 uren is vastgesteld. Behoorden de scholen niet tot een scholengemeenschap, dan werden die scholen onderzocht die een overschrijding van minstens 10 uur vertoonden.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</si>
</sst>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 [$€-1];[Red]\-#,##0.00\ [$€-1]"/>
    <numFmt numFmtId="166" formatCode="0.000"/>
    <numFmt numFmtId="167" formatCode="#,##0_ ;[Red]\-#,##0\ "/>
    <numFmt numFmtId="168" formatCode="0.0%"/>
  </numFmts>
  <fonts count="28"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2"/>
      <color theme="1"/>
      <name val="Calibri"/>
      <family val="2"/>
      <scheme val="minor"/>
    </font>
    <font>
      <b/>
      <sz val="10"/>
      <color theme="1"/>
      <name val="Calibri"/>
      <family val="2"/>
      <scheme val="minor"/>
    </font>
    <font>
      <sz val="11"/>
      <name val="Calibri"/>
      <family val="2"/>
      <scheme val="minor"/>
    </font>
    <font>
      <sz val="11"/>
      <color theme="1"/>
      <name val="Calibri"/>
      <family val="2"/>
      <scheme val="minor"/>
    </font>
    <font>
      <sz val="10"/>
      <color theme="1"/>
      <name val="Calibri"/>
      <family val="2"/>
      <scheme val="minor"/>
    </font>
    <font>
      <b/>
      <sz val="10"/>
      <color rgb="FF000000"/>
      <name val="Calibri"/>
      <family val="2"/>
      <scheme val="minor"/>
    </font>
    <font>
      <b/>
      <sz val="11"/>
      <name val="Calibri"/>
      <family val="2"/>
      <scheme val="minor"/>
    </font>
    <font>
      <sz val="8"/>
      <name val="Calibri"/>
      <family val="2"/>
    </font>
    <font>
      <i/>
      <sz val="10"/>
      <name val="Calibri"/>
      <family val="2"/>
      <scheme val="minor"/>
    </font>
    <font>
      <i/>
      <sz val="10"/>
      <color theme="1"/>
      <name val="Calibri"/>
      <family val="2"/>
      <scheme val="minor"/>
    </font>
    <font>
      <sz val="11"/>
      <color rgb="FF00B050"/>
      <name val="Calibri"/>
      <family val="2"/>
      <scheme val="minor"/>
    </font>
    <font>
      <i/>
      <sz val="11"/>
      <name val="Calibri"/>
      <family val="2"/>
      <scheme val="minor"/>
    </font>
    <font>
      <u/>
      <sz val="11"/>
      <color theme="10"/>
      <name val="Calibri"/>
      <family val="2"/>
      <scheme val="minor"/>
    </font>
    <font>
      <u/>
      <sz val="11"/>
      <name val="Calibri"/>
      <family val="2"/>
      <scheme val="minor"/>
    </font>
    <font>
      <sz val="11"/>
      <name val="Calibri"/>
      <family val="2"/>
    </font>
    <font>
      <sz val="12"/>
      <name val="Calibri"/>
      <family val="2"/>
      <scheme val="minor"/>
    </font>
    <font>
      <b/>
      <sz val="10"/>
      <name val="Calibri"/>
      <family val="2"/>
      <scheme val="minor"/>
    </font>
    <font>
      <sz val="10"/>
      <name val="Calibri"/>
      <family val="2"/>
      <scheme val="minor"/>
    </font>
    <font>
      <i/>
      <u/>
      <sz val="10"/>
      <name val="Calibri"/>
      <family val="2"/>
      <scheme val="minor"/>
    </font>
    <font>
      <b/>
      <sz val="9"/>
      <name val="Calibri"/>
      <family val="2"/>
      <scheme val="minor"/>
    </font>
    <font>
      <sz val="9"/>
      <name val="Calibri"/>
      <family val="2"/>
      <scheme val="minor"/>
    </font>
    <font>
      <b/>
      <sz val="12"/>
      <color theme="1"/>
      <name val="Calibri"/>
      <family val="2"/>
      <scheme val="minor"/>
    </font>
    <font>
      <sz val="8"/>
      <name val="Calibri"/>
      <family val="2"/>
      <scheme val="minor"/>
    </font>
    <font>
      <b/>
      <sz val="11"/>
      <color rgb="FF000000"/>
      <name val="Calibri"/>
      <family val="2"/>
    </font>
  </fonts>
  <fills count="8">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3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style="medium">
        <color indexed="64"/>
      </right>
      <top/>
      <bottom style="medium">
        <color indexed="64"/>
      </bottom>
      <diagonal/>
    </border>
    <border>
      <left/>
      <right style="medium">
        <color indexed="64"/>
      </right>
      <top/>
      <bottom style="medium">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medium">
        <color indexed="64"/>
      </left>
      <right/>
      <top/>
      <bottom style="medium">
        <color indexed="64"/>
      </bottom>
      <diagonal/>
    </border>
    <border>
      <left/>
      <right/>
      <top style="medium">
        <color rgb="FF000000"/>
      </top>
      <bottom style="medium">
        <color indexed="64"/>
      </bottom>
      <diagonal/>
    </border>
    <border>
      <left/>
      <right/>
      <top/>
      <bottom style="medium">
        <color rgb="FF000000"/>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16" fillId="0" borderId="0" applyNumberFormat="0" applyFill="0" applyBorder="0" applyAlignment="0" applyProtection="0"/>
    <xf numFmtId="9" fontId="7" fillId="0" borderId="0" applyFont="0" applyFill="0" applyBorder="0" applyAlignment="0" applyProtection="0"/>
    <xf numFmtId="164" fontId="7" fillId="0" borderId="0" applyFont="0" applyFill="0" applyBorder="0" applyAlignment="0" applyProtection="0"/>
  </cellStyleXfs>
  <cellXfs count="608">
    <xf numFmtId="0" fontId="0" fillId="0" borderId="0" xfId="0"/>
    <xf numFmtId="0" fontId="0" fillId="2" borderId="2" xfId="0" applyFill="1" applyBorder="1" applyAlignment="1">
      <alignment vertical="center"/>
    </xf>
    <xf numFmtId="0" fontId="0" fillId="0" borderId="0" xfId="0" applyAlignment="1">
      <alignment wrapText="1"/>
    </xf>
    <xf numFmtId="0" fontId="0" fillId="0" borderId="0" xfId="0" applyAlignment="1">
      <alignment horizontal="center"/>
    </xf>
    <xf numFmtId="0" fontId="0" fillId="0" borderId="2" xfId="0" applyBorder="1" applyAlignment="1">
      <alignment horizontal="right" vertical="center" wrapText="1"/>
    </xf>
    <xf numFmtId="1" fontId="0" fillId="0" borderId="3" xfId="0" applyNumberFormat="1" applyBorder="1" applyAlignment="1">
      <alignment horizontal="right" vertical="center"/>
    </xf>
    <xf numFmtId="0" fontId="1" fillId="0" borderId="2" xfId="0" applyFont="1" applyBorder="1" applyAlignment="1">
      <alignment vertical="center"/>
    </xf>
    <xf numFmtId="0" fontId="0" fillId="5" borderId="0" xfId="0" applyFill="1"/>
    <xf numFmtId="0" fontId="1" fillId="5" borderId="0" xfId="0" applyFont="1" applyFill="1"/>
    <xf numFmtId="0" fontId="1" fillId="0" borderId="12" xfId="0" applyFont="1" applyBorder="1" applyAlignment="1">
      <alignment vertical="center"/>
    </xf>
    <xf numFmtId="0" fontId="1" fillId="0" borderId="12" xfId="0" applyFont="1" applyBorder="1" applyAlignment="1">
      <alignment horizontal="right" vertical="center" wrapText="1"/>
    </xf>
    <xf numFmtId="0" fontId="0" fillId="0" borderId="12" xfId="0" applyBorder="1" applyAlignment="1">
      <alignment vertical="center"/>
    </xf>
    <xf numFmtId="3" fontId="0" fillId="0" borderId="12" xfId="0" applyNumberFormat="1" applyBorder="1" applyAlignment="1">
      <alignment horizontal="right" vertical="center" wrapText="1"/>
    </xf>
    <xf numFmtId="0" fontId="1" fillId="0" borderId="12" xfId="0" applyFont="1" applyBorder="1" applyAlignment="1">
      <alignment vertical="center" wrapText="1"/>
    </xf>
    <xf numFmtId="3" fontId="6" fillId="0" borderId="12" xfId="0" applyNumberFormat="1" applyFont="1" applyBorder="1" applyAlignment="1">
      <alignment horizontal="right" vertical="center" wrapText="1"/>
    </xf>
    <xf numFmtId="10" fontId="6" fillId="0" borderId="12" xfId="0" applyNumberFormat="1" applyFont="1" applyBorder="1" applyAlignment="1">
      <alignment horizontal="right" vertical="center" wrapText="1"/>
    </xf>
    <xf numFmtId="0" fontId="6" fillId="0" borderId="12" xfId="0" applyFont="1" applyBorder="1" applyAlignment="1">
      <alignment horizontal="right" vertical="center" wrapText="1"/>
    </xf>
    <xf numFmtId="0" fontId="10" fillId="0" borderId="0" xfId="0" applyFont="1" applyAlignment="1">
      <alignment vertical="center"/>
    </xf>
    <xf numFmtId="0" fontId="1" fillId="0" borderId="12" xfId="0" applyFont="1" applyBorder="1" applyAlignment="1">
      <alignment horizontal="right" vertical="center"/>
    </xf>
    <xf numFmtId="0" fontId="0" fillId="0" borderId="12" xfId="0" applyBorder="1" applyAlignment="1">
      <alignment horizontal="right" vertical="center"/>
    </xf>
    <xf numFmtId="0" fontId="0" fillId="0" borderId="12" xfId="0" applyBorder="1" applyAlignment="1">
      <alignment horizontal="right" vertical="center" wrapText="1"/>
    </xf>
    <xf numFmtId="3" fontId="1" fillId="0" borderId="12" xfId="0" applyNumberFormat="1" applyFont="1" applyBorder="1" applyAlignment="1">
      <alignment horizontal="right" vertical="center" wrapText="1"/>
    </xf>
    <xf numFmtId="0" fontId="0" fillId="0" borderId="12" xfId="0" applyBorder="1" applyAlignment="1">
      <alignment vertical="center" wrapText="1"/>
    </xf>
    <xf numFmtId="0" fontId="0" fillId="5" borderId="0" xfId="0" applyFill="1" applyAlignment="1">
      <alignment horizontal="right"/>
    </xf>
    <xf numFmtId="0" fontId="6" fillId="5" borderId="0" xfId="0" applyFont="1" applyFill="1" applyAlignment="1">
      <alignment horizontal="right"/>
    </xf>
    <xf numFmtId="3" fontId="10" fillId="0" borderId="12" xfId="0" applyNumberFormat="1" applyFont="1" applyBorder="1" applyAlignment="1">
      <alignment horizontal="right" vertical="center" wrapText="1"/>
    </xf>
    <xf numFmtId="0" fontId="12" fillId="5" borderId="0" xfId="0" applyFont="1" applyFill="1" applyAlignment="1">
      <alignment vertical="center"/>
    </xf>
    <xf numFmtId="0" fontId="13" fillId="5" borderId="0" xfId="0" applyFont="1" applyFill="1"/>
    <xf numFmtId="0" fontId="2" fillId="2" borderId="12" xfId="0" applyFont="1" applyFill="1" applyBorder="1" applyAlignment="1">
      <alignment vertical="center" wrapText="1"/>
    </xf>
    <xf numFmtId="0" fontId="3" fillId="2" borderId="12" xfId="0" applyFont="1" applyFill="1" applyBorder="1" applyAlignment="1">
      <alignment vertical="center"/>
    </xf>
    <xf numFmtId="0" fontId="3" fillId="2" borderId="12"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10" fillId="2" borderId="12" xfId="0" applyFont="1" applyFill="1" applyBorder="1" applyAlignment="1">
      <alignment horizontal="right" vertical="center" wrapText="1"/>
    </xf>
    <xf numFmtId="0" fontId="6" fillId="2" borderId="12" xfId="0" applyFont="1" applyFill="1" applyBorder="1" applyAlignment="1">
      <alignment horizontal="right" vertical="center" wrapText="1"/>
    </xf>
    <xf numFmtId="0" fontId="6" fillId="5" borderId="0" xfId="0" applyFont="1" applyFill="1"/>
    <xf numFmtId="0" fontId="10" fillId="2" borderId="12" xfId="0" applyFont="1" applyFill="1" applyBorder="1" applyAlignment="1">
      <alignment vertical="center" wrapText="1"/>
    </xf>
    <xf numFmtId="3" fontId="6" fillId="2" borderId="12" xfId="0" applyNumberFormat="1" applyFont="1" applyFill="1" applyBorder="1" applyAlignment="1">
      <alignment horizontal="right" vertical="center" wrapText="1"/>
    </xf>
    <xf numFmtId="0" fontId="6" fillId="2" borderId="12" xfId="0" applyFont="1" applyFill="1" applyBorder="1" applyAlignment="1">
      <alignment vertical="center" wrapText="1"/>
    </xf>
    <xf numFmtId="4" fontId="6" fillId="2" borderId="12" xfId="0" applyNumberFormat="1" applyFont="1" applyFill="1" applyBorder="1" applyAlignment="1">
      <alignment horizontal="right" vertical="center" wrapText="1"/>
    </xf>
    <xf numFmtId="4" fontId="10" fillId="2" borderId="12" xfId="0" applyNumberFormat="1" applyFont="1" applyFill="1" applyBorder="1" applyAlignment="1">
      <alignment horizontal="right" vertical="center" wrapText="1"/>
    </xf>
    <xf numFmtId="3" fontId="10" fillId="2" borderId="12" xfId="0" applyNumberFormat="1" applyFont="1" applyFill="1" applyBorder="1" applyAlignment="1">
      <alignment horizontal="right" vertical="center" wrapText="1"/>
    </xf>
    <xf numFmtId="0" fontId="0" fillId="5" borderId="0" xfId="0" applyFill="1" applyAlignment="1">
      <alignment wrapText="1"/>
    </xf>
    <xf numFmtId="10" fontId="1" fillId="0" borderId="12" xfId="0" applyNumberFormat="1" applyFont="1" applyBorder="1" applyAlignment="1">
      <alignment horizontal="right" vertical="center"/>
    </xf>
    <xf numFmtId="10" fontId="1" fillId="0" borderId="12" xfId="0" applyNumberFormat="1" applyFont="1" applyBorder="1" applyAlignment="1">
      <alignment horizontal="right" vertical="center" wrapText="1"/>
    </xf>
    <xf numFmtId="10" fontId="0" fillId="0" borderId="12" xfId="0" applyNumberFormat="1" applyBorder="1" applyAlignment="1">
      <alignment horizontal="right" vertical="center"/>
    </xf>
    <xf numFmtId="10" fontId="0" fillId="0" borderId="12" xfId="0" applyNumberFormat="1" applyBorder="1" applyAlignment="1">
      <alignment horizontal="right" vertical="center" wrapText="1"/>
    </xf>
    <xf numFmtId="0" fontId="0" fillId="0" borderId="12" xfId="0" applyBorder="1" applyAlignment="1">
      <alignment horizontal="left" vertical="center" wrapText="1" indent="3"/>
    </xf>
    <xf numFmtId="0" fontId="10" fillId="0" borderId="12" xfId="0" applyFont="1" applyBorder="1" applyAlignment="1">
      <alignment horizontal="right" vertical="center"/>
    </xf>
    <xf numFmtId="0" fontId="6" fillId="0" borderId="12" xfId="0" applyFont="1" applyBorder="1" applyAlignment="1">
      <alignment horizontal="right" vertical="center"/>
    </xf>
    <xf numFmtId="3" fontId="10" fillId="0" borderId="12" xfId="0" applyNumberFormat="1" applyFont="1" applyBorder="1" applyAlignment="1">
      <alignment horizontal="right" vertical="center"/>
    </xf>
    <xf numFmtId="4" fontId="10" fillId="0" borderId="12" xfId="0" applyNumberFormat="1" applyFont="1" applyBorder="1" applyAlignment="1">
      <alignment horizontal="right" vertical="center"/>
    </xf>
    <xf numFmtId="10" fontId="6" fillId="0" borderId="12" xfId="0" applyNumberFormat="1" applyFont="1" applyBorder="1" applyAlignment="1">
      <alignment horizontal="right" vertical="center"/>
    </xf>
    <xf numFmtId="0" fontId="6" fillId="5" borderId="0" xfId="0" applyFont="1" applyFill="1" applyAlignment="1">
      <alignment wrapText="1"/>
    </xf>
    <xf numFmtId="0" fontId="6" fillId="0" borderId="12" xfId="0" applyFont="1" applyBorder="1" applyAlignment="1">
      <alignment vertical="center" wrapText="1"/>
    </xf>
    <xf numFmtId="0" fontId="14" fillId="5" borderId="0" xfId="0" applyFont="1" applyFill="1" applyAlignment="1">
      <alignment horizontal="justify" vertical="center"/>
    </xf>
    <xf numFmtId="0" fontId="0" fillId="5" borderId="0" xfId="0" applyFill="1" applyAlignment="1">
      <alignment horizontal="justify" vertical="center"/>
    </xf>
    <xf numFmtId="0" fontId="3" fillId="5" borderId="12" xfId="0" applyFont="1" applyFill="1" applyBorder="1" applyAlignment="1">
      <alignment vertical="center" wrapText="1"/>
    </xf>
    <xf numFmtId="0" fontId="3" fillId="5" borderId="12" xfId="0" applyFont="1" applyFill="1" applyBorder="1" applyAlignment="1">
      <alignment horizontal="right" vertical="center" wrapText="1"/>
    </xf>
    <xf numFmtId="0" fontId="13" fillId="5" borderId="0" xfId="0" applyFont="1" applyFill="1" applyAlignment="1">
      <alignment vertical="center"/>
    </xf>
    <xf numFmtId="0" fontId="1" fillId="5" borderId="0" xfId="0" applyFont="1" applyFill="1" applyAlignment="1">
      <alignment vertical="center"/>
    </xf>
    <xf numFmtId="0" fontId="10" fillId="5" borderId="0" xfId="0" applyFont="1" applyFill="1" applyAlignment="1">
      <alignment vertical="center"/>
    </xf>
    <xf numFmtId="0" fontId="6" fillId="5" borderId="0" xfId="0" applyFont="1" applyFill="1" applyAlignment="1">
      <alignment horizontal="center"/>
    </xf>
    <xf numFmtId="0" fontId="6" fillId="5" borderId="12" xfId="0" applyFont="1" applyFill="1" applyBorder="1" applyAlignment="1">
      <alignment vertical="center" wrapText="1"/>
    </xf>
    <xf numFmtId="0" fontId="6" fillId="5" borderId="12" xfId="0" applyFont="1" applyFill="1" applyBorder="1" applyAlignment="1">
      <alignment horizontal="center" vertical="center" wrapText="1"/>
    </xf>
    <xf numFmtId="0" fontId="6" fillId="5" borderId="12" xfId="0" applyFont="1" applyFill="1" applyBorder="1" applyAlignment="1">
      <alignment horizontal="right" vertical="center" wrapText="1"/>
    </xf>
    <xf numFmtId="3" fontId="6" fillId="5" borderId="12" xfId="0" applyNumberFormat="1" applyFont="1" applyFill="1" applyBorder="1" applyAlignment="1">
      <alignment horizontal="right" vertical="center" wrapText="1"/>
    </xf>
    <xf numFmtId="3" fontId="10" fillId="5" borderId="12" xfId="0" applyNumberFormat="1" applyFont="1" applyFill="1" applyBorder="1" applyAlignment="1">
      <alignment horizontal="right" vertical="center" wrapText="1"/>
    </xf>
    <xf numFmtId="10" fontId="10" fillId="5" borderId="12" xfId="0" applyNumberFormat="1" applyFont="1" applyFill="1" applyBorder="1" applyAlignment="1">
      <alignment horizontal="right" vertical="center"/>
    </xf>
    <xf numFmtId="0" fontId="10" fillId="2" borderId="14" xfId="0" applyFont="1" applyFill="1" applyBorder="1" applyAlignment="1">
      <alignment horizontal="left" vertical="center" wrapText="1"/>
    </xf>
    <xf numFmtId="10" fontId="6" fillId="2" borderId="12" xfId="0" applyNumberFormat="1" applyFont="1" applyFill="1" applyBorder="1" applyAlignment="1">
      <alignment horizontal="right" vertical="center"/>
    </xf>
    <xf numFmtId="0" fontId="6" fillId="2" borderId="12" xfId="0" applyFont="1" applyFill="1" applyBorder="1" applyAlignment="1">
      <alignment horizontal="right" vertical="center"/>
    </xf>
    <xf numFmtId="0" fontId="12" fillId="0" borderId="0" xfId="0" applyFont="1" applyAlignment="1">
      <alignment vertical="center"/>
    </xf>
    <xf numFmtId="0" fontId="10" fillId="5" borderId="12" xfId="0" applyFont="1" applyFill="1" applyBorder="1" applyAlignment="1">
      <alignment horizontal="center" vertical="center" textRotation="180"/>
    </xf>
    <xf numFmtId="0" fontId="10" fillId="5" borderId="12" xfId="0" applyFont="1" applyFill="1" applyBorder="1" applyAlignment="1">
      <alignment horizontal="center" vertical="center" textRotation="180" wrapText="1"/>
    </xf>
    <xf numFmtId="0" fontId="10" fillId="5" borderId="0" xfId="0" applyFont="1" applyFill="1"/>
    <xf numFmtId="0" fontId="10" fillId="5" borderId="12" xfId="0" applyFont="1" applyFill="1" applyBorder="1" applyAlignment="1">
      <alignment horizontal="left" vertical="center"/>
    </xf>
    <xf numFmtId="0" fontId="10" fillId="5" borderId="12" xfId="0" applyFont="1" applyFill="1" applyBorder="1" applyAlignment="1">
      <alignment horizontal="right" vertical="center" textRotation="180"/>
    </xf>
    <xf numFmtId="0" fontId="6" fillId="5" borderId="12" xfId="0" applyFont="1" applyFill="1" applyBorder="1" applyAlignment="1">
      <alignment horizontal="left" vertical="center" wrapText="1"/>
    </xf>
    <xf numFmtId="0" fontId="10" fillId="0" borderId="12" xfId="0" applyFont="1" applyBorder="1" applyAlignment="1">
      <alignment vertical="center"/>
    </xf>
    <xf numFmtId="0" fontId="6" fillId="0" borderId="12" xfId="0" applyFont="1" applyBorder="1" applyAlignment="1">
      <alignment vertical="center"/>
    </xf>
    <xf numFmtId="0" fontId="15" fillId="5" borderId="12" xfId="0" applyFont="1" applyFill="1" applyBorder="1" applyAlignment="1">
      <alignment vertical="center"/>
    </xf>
    <xf numFmtId="0" fontId="6" fillId="0" borderId="12" xfId="0" applyFont="1" applyBorder="1" applyAlignment="1">
      <alignment horizontal="left" vertical="center"/>
    </xf>
    <xf numFmtId="0" fontId="6" fillId="0" borderId="14" xfId="0" applyFont="1" applyBorder="1" applyAlignment="1">
      <alignment horizontal="right" vertical="center" wrapText="1"/>
    </xf>
    <xf numFmtId="0" fontId="10" fillId="0" borderId="12" xfId="0" applyFont="1" applyBorder="1" applyAlignment="1">
      <alignment horizontal="left" vertical="center"/>
    </xf>
    <xf numFmtId="0" fontId="6" fillId="5" borderId="12" xfId="0" applyFont="1" applyFill="1" applyBorder="1" applyAlignment="1">
      <alignment horizontal="justify" vertical="center"/>
    </xf>
    <xf numFmtId="0" fontId="6" fillId="5" borderId="0" xfId="0" applyFont="1" applyFill="1" applyAlignment="1">
      <alignment vertical="center"/>
    </xf>
    <xf numFmtId="0" fontId="6" fillId="5" borderId="12" xfId="0" applyFont="1" applyFill="1" applyBorder="1"/>
    <xf numFmtId="0" fontId="17" fillId="5" borderId="0" xfId="1" applyFont="1" applyFill="1" applyAlignment="1">
      <alignment vertical="center"/>
    </xf>
    <xf numFmtId="0" fontId="12" fillId="5" borderId="0" xfId="0" applyFont="1" applyFill="1" applyAlignment="1">
      <alignment horizontal="left" vertical="top"/>
    </xf>
    <xf numFmtId="3" fontId="10" fillId="5" borderId="12" xfId="0" applyNumberFormat="1" applyFont="1" applyFill="1" applyBorder="1" applyAlignment="1">
      <alignment horizontal="right" vertical="center"/>
    </xf>
    <xf numFmtId="0" fontId="18" fillId="5" borderId="0" xfId="0" applyFont="1" applyFill="1" applyAlignment="1">
      <alignment vertical="center"/>
    </xf>
    <xf numFmtId="0" fontId="6" fillId="5" borderId="0" xfId="0" applyFont="1" applyFill="1" applyAlignment="1">
      <alignment horizontal="justify" vertical="center"/>
    </xf>
    <xf numFmtId="0" fontId="15" fillId="5" borderId="0" xfId="0" applyFont="1" applyFill="1" applyAlignment="1">
      <alignment horizontal="justify" vertical="center"/>
    </xf>
    <xf numFmtId="0" fontId="12" fillId="0" borderId="0" xfId="0" applyFont="1" applyAlignment="1">
      <alignment horizontal="left" vertical="center"/>
    </xf>
    <xf numFmtId="3" fontId="6" fillId="0" borderId="12" xfId="0" applyNumberFormat="1" applyFont="1" applyBorder="1" applyAlignment="1">
      <alignment horizontal="right" vertical="center"/>
    </xf>
    <xf numFmtId="0" fontId="4" fillId="5" borderId="0" xfId="0" applyFont="1" applyFill="1"/>
    <xf numFmtId="0" fontId="19" fillId="5" borderId="0" xfId="0" applyFont="1" applyFill="1"/>
    <xf numFmtId="0" fontId="19" fillId="5" borderId="0" xfId="0" applyFont="1" applyFill="1" applyAlignment="1">
      <alignment wrapText="1"/>
    </xf>
    <xf numFmtId="0" fontId="4" fillId="5" borderId="0" xfId="0" applyFont="1" applyFill="1" applyAlignment="1">
      <alignment wrapText="1"/>
    </xf>
    <xf numFmtId="0" fontId="12" fillId="5" borderId="0" xfId="0" applyFont="1" applyFill="1" applyAlignment="1">
      <alignment horizontal="left" vertical="center"/>
    </xf>
    <xf numFmtId="0" fontId="10" fillId="5" borderId="12" xfId="0" applyFont="1" applyFill="1" applyBorder="1" applyAlignment="1">
      <alignment horizontal="right" vertical="center" textRotation="180" wrapText="1"/>
    </xf>
    <xf numFmtId="0" fontId="6" fillId="5" borderId="12" xfId="0" applyFont="1" applyFill="1" applyBorder="1" applyAlignment="1">
      <alignment vertical="top" wrapText="1"/>
    </xf>
    <xf numFmtId="4" fontId="6" fillId="5" borderId="12" xfId="0" applyNumberFormat="1" applyFont="1" applyFill="1" applyBorder="1" applyAlignment="1">
      <alignment horizontal="right" vertical="center"/>
    </xf>
    <xf numFmtId="0" fontId="10" fillId="0" borderId="12" xfId="0" applyFont="1" applyBorder="1" applyAlignment="1">
      <alignment vertical="center" wrapText="1"/>
    </xf>
    <xf numFmtId="4" fontId="10" fillId="5" borderId="12" xfId="0" applyNumberFormat="1" applyFont="1" applyFill="1" applyBorder="1" applyAlignment="1">
      <alignment horizontal="right" vertical="center"/>
    </xf>
    <xf numFmtId="2" fontId="6" fillId="5" borderId="12" xfId="0" applyNumberFormat="1" applyFont="1" applyFill="1" applyBorder="1" applyAlignment="1">
      <alignment horizontal="right" vertical="center"/>
    </xf>
    <xf numFmtId="0" fontId="10" fillId="2" borderId="12" xfId="0" applyFont="1" applyFill="1" applyBorder="1" applyAlignment="1">
      <alignment vertical="center"/>
    </xf>
    <xf numFmtId="0" fontId="10" fillId="0" borderId="12" xfId="0" applyFont="1" applyBorder="1" applyAlignment="1">
      <alignment horizontal="center" vertical="center" textRotation="180" wrapText="1"/>
    </xf>
    <xf numFmtId="10" fontId="0" fillId="5" borderId="0" xfId="0" applyNumberFormat="1" applyFill="1"/>
    <xf numFmtId="10" fontId="6" fillId="5" borderId="0" xfId="0" applyNumberFormat="1" applyFont="1" applyFill="1"/>
    <xf numFmtId="3" fontId="4" fillId="5" borderId="0" xfId="0" applyNumberFormat="1" applyFont="1" applyFill="1"/>
    <xf numFmtId="0" fontId="5" fillId="2" borderId="3" xfId="0" applyFont="1" applyFill="1" applyBorder="1" applyAlignment="1">
      <alignment horizontal="center" vertical="center" wrapText="1"/>
    </xf>
    <xf numFmtId="0" fontId="9" fillId="2" borderId="3" xfId="0" applyFont="1" applyFill="1" applyBorder="1" applyAlignment="1">
      <alignment horizontal="center" vertical="center" textRotation="180" wrapText="1"/>
    </xf>
    <xf numFmtId="0" fontId="8" fillId="2" borderId="3" xfId="0" applyFont="1" applyFill="1" applyBorder="1" applyAlignment="1">
      <alignment horizontal="center" vertical="top" wrapText="1"/>
    </xf>
    <xf numFmtId="0" fontId="1" fillId="0" borderId="0" xfId="0" applyFont="1"/>
    <xf numFmtId="10" fontId="6" fillId="5" borderId="0" xfId="2" applyNumberFormat="1" applyFont="1" applyFill="1"/>
    <xf numFmtId="0" fontId="0" fillId="0" borderId="12" xfId="0" applyBorder="1"/>
    <xf numFmtId="165" fontId="0" fillId="0" borderId="3" xfId="0" applyNumberFormat="1" applyBorder="1" applyAlignment="1">
      <alignment horizontal="right" vertical="center"/>
    </xf>
    <xf numFmtId="165" fontId="1" fillId="0" borderId="3" xfId="0" applyNumberFormat="1" applyFont="1" applyBorder="1" applyAlignment="1">
      <alignment horizontal="right" vertical="center"/>
    </xf>
    <xf numFmtId="10" fontId="0" fillId="5" borderId="0" xfId="2" applyNumberFormat="1" applyFont="1" applyFill="1"/>
    <xf numFmtId="3" fontId="0" fillId="5" borderId="0" xfId="0" applyNumberFormat="1" applyFill="1"/>
    <xf numFmtId="0" fontId="2" fillId="5" borderId="12" xfId="0" applyFont="1" applyFill="1" applyBorder="1" applyAlignment="1">
      <alignment vertical="center" wrapText="1"/>
    </xf>
    <xf numFmtId="14" fontId="1" fillId="0" borderId="12" xfId="0" applyNumberFormat="1" applyFont="1" applyBorder="1"/>
    <xf numFmtId="3" fontId="3" fillId="2" borderId="12" xfId="0" applyNumberFormat="1" applyFont="1" applyFill="1" applyBorder="1" applyAlignment="1">
      <alignment horizontal="right" vertical="center"/>
    </xf>
    <xf numFmtId="0" fontId="10" fillId="5" borderId="12" xfId="0"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xf>
    <xf numFmtId="0" fontId="10" fillId="0" borderId="12" xfId="0" applyFont="1" applyBorder="1" applyAlignment="1">
      <alignment horizontal="right" vertical="center" wrapText="1"/>
    </xf>
    <xf numFmtId="0" fontId="10" fillId="5" borderId="12" xfId="0" applyFont="1" applyFill="1" applyBorder="1" applyAlignment="1">
      <alignment vertical="center"/>
    </xf>
    <xf numFmtId="3" fontId="0" fillId="0" borderId="9" xfId="0" applyNumberFormat="1" applyBorder="1" applyAlignment="1">
      <alignment horizontal="right" vertical="center" wrapText="1"/>
    </xf>
    <xf numFmtId="0" fontId="1" fillId="5" borderId="12" xfId="0" applyFont="1" applyFill="1" applyBorder="1" applyAlignment="1">
      <alignment vertical="center"/>
    </xf>
    <xf numFmtId="3" fontId="0" fillId="5" borderId="12" xfId="0" applyNumberFormat="1" applyFill="1" applyBorder="1" applyAlignment="1">
      <alignment horizontal="right" vertical="center" wrapText="1"/>
    </xf>
    <xf numFmtId="10" fontId="3" fillId="5" borderId="12" xfId="0" applyNumberFormat="1" applyFont="1" applyFill="1" applyBorder="1" applyAlignment="1">
      <alignment horizontal="right" vertical="center"/>
    </xf>
    <xf numFmtId="3" fontId="0" fillId="5" borderId="12" xfId="0" applyNumberFormat="1" applyFill="1" applyBorder="1" applyAlignment="1">
      <alignment vertical="center" wrapText="1"/>
    </xf>
    <xf numFmtId="3" fontId="1" fillId="5" borderId="12" xfId="0" applyNumberFormat="1" applyFont="1" applyFill="1" applyBorder="1" applyAlignment="1">
      <alignment horizontal="right" vertical="center" wrapText="1"/>
    </xf>
    <xf numFmtId="0" fontId="1" fillId="0" borderId="13" xfId="0"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1" fillId="0" borderId="10" xfId="0" applyFont="1" applyBorder="1" applyAlignment="1">
      <alignment vertical="center"/>
    </xf>
    <xf numFmtId="0" fontId="0" fillId="0" borderId="13" xfId="0" applyBorder="1" applyAlignment="1">
      <alignment vertical="center" wrapText="1"/>
    </xf>
    <xf numFmtId="0" fontId="1" fillId="0" borderId="13" xfId="0" applyFont="1" applyBorder="1" applyAlignment="1">
      <alignment vertical="center" wrapText="1"/>
    </xf>
    <xf numFmtId="3" fontId="0" fillId="0" borderId="12" xfId="0" applyNumberFormat="1" applyBorder="1" applyAlignment="1">
      <alignment horizontal="right" vertical="center"/>
    </xf>
    <xf numFmtId="3" fontId="1" fillId="0" borderId="12" xfId="0" applyNumberFormat="1" applyFont="1" applyBorder="1" applyAlignment="1">
      <alignment horizontal="right" vertical="center"/>
    </xf>
    <xf numFmtId="0" fontId="6" fillId="5" borderId="13" xfId="0" applyFont="1" applyFill="1" applyBorder="1" applyAlignment="1">
      <alignment horizontal="right"/>
    </xf>
    <xf numFmtId="0" fontId="6" fillId="5" borderId="13" xfId="0" applyFont="1" applyFill="1" applyBorder="1" applyAlignment="1">
      <alignment horizontal="right" vertical="center"/>
    </xf>
    <xf numFmtId="0" fontId="10" fillId="5" borderId="13" xfId="0" applyFont="1" applyFill="1" applyBorder="1" applyAlignment="1">
      <alignment horizontal="right" vertical="center"/>
    </xf>
    <xf numFmtId="0" fontId="10" fillId="5" borderId="9" xfId="0" applyFont="1" applyFill="1" applyBorder="1" applyAlignment="1">
      <alignment horizontal="right" vertical="center"/>
    </xf>
    <xf numFmtId="3" fontId="10" fillId="5" borderId="9" xfId="0" applyNumberFormat="1" applyFont="1" applyFill="1" applyBorder="1" applyAlignment="1">
      <alignment horizontal="right" vertical="center"/>
    </xf>
    <xf numFmtId="0" fontId="1" fillId="0" borderId="12" xfId="0" applyFont="1" applyBorder="1" applyAlignment="1">
      <alignment horizontal="right" vertical="center" textRotation="180"/>
    </xf>
    <xf numFmtId="0" fontId="6" fillId="5" borderId="13" xfId="0" applyFont="1" applyFill="1" applyBorder="1" applyAlignment="1">
      <alignment vertical="center" wrapText="1"/>
    </xf>
    <xf numFmtId="0" fontId="6" fillId="5" borderId="9" xfId="0" applyFont="1" applyFill="1" applyBorder="1" applyAlignment="1">
      <alignment horizontal="right" vertical="center"/>
    </xf>
    <xf numFmtId="0" fontId="10" fillId="5" borderId="13" xfId="0" applyFont="1" applyFill="1" applyBorder="1"/>
    <xf numFmtId="0" fontId="6" fillId="5" borderId="13" xfId="0" applyFont="1" applyFill="1" applyBorder="1"/>
    <xf numFmtId="0" fontId="6" fillId="5" borderId="9" xfId="0" applyFont="1" applyFill="1" applyBorder="1" applyAlignment="1">
      <alignment horizontal="right" vertical="center" wrapText="1"/>
    </xf>
    <xf numFmtId="0" fontId="10" fillId="5" borderId="13" xfId="0" applyFont="1" applyFill="1" applyBorder="1" applyAlignment="1">
      <alignment horizontal="center"/>
    </xf>
    <xf numFmtId="1" fontId="3" fillId="2" borderId="12" xfId="0" applyNumberFormat="1" applyFont="1" applyFill="1" applyBorder="1" applyAlignment="1">
      <alignment horizontal="right" vertical="center"/>
    </xf>
    <xf numFmtId="0" fontId="1" fillId="0" borderId="12" xfId="0" applyFont="1" applyBorder="1" applyAlignment="1">
      <alignment horizontal="center" vertical="center" textRotation="180"/>
    </xf>
    <xf numFmtId="0" fontId="10" fillId="5" borderId="9" xfId="0" applyFont="1" applyFill="1" applyBorder="1" applyAlignment="1">
      <alignment horizontal="center" vertical="center" textRotation="180"/>
    </xf>
    <xf numFmtId="0" fontId="1" fillId="0" borderId="12" xfId="0" applyFont="1" applyBorder="1" applyAlignment="1">
      <alignment horizontal="center" vertical="center" textRotation="180" wrapText="1"/>
    </xf>
    <xf numFmtId="3" fontId="6" fillId="5" borderId="9" xfId="0" applyNumberFormat="1" applyFont="1" applyFill="1" applyBorder="1" applyAlignment="1">
      <alignment horizontal="right" vertical="center" wrapText="1"/>
    </xf>
    <xf numFmtId="3" fontId="10" fillId="5" borderId="9" xfId="0" applyNumberFormat="1" applyFont="1" applyFill="1" applyBorder="1" applyAlignment="1">
      <alignment horizontal="right" vertical="center" wrapText="1"/>
    </xf>
    <xf numFmtId="3" fontId="6" fillId="5" borderId="9" xfId="0" applyNumberFormat="1" applyFont="1" applyFill="1" applyBorder="1" applyAlignment="1">
      <alignment vertical="center" wrapText="1"/>
    </xf>
    <xf numFmtId="3" fontId="6" fillId="5" borderId="12" xfId="0" applyNumberFormat="1" applyFont="1" applyFill="1" applyBorder="1" applyAlignment="1">
      <alignment vertical="center" wrapText="1"/>
    </xf>
    <xf numFmtId="0" fontId="10" fillId="5" borderId="13" xfId="0" applyFont="1" applyFill="1" applyBorder="1" applyAlignment="1">
      <alignment vertical="center"/>
    </xf>
    <xf numFmtId="3" fontId="3" fillId="2" borderId="12" xfId="0" applyNumberFormat="1" applyFont="1" applyFill="1" applyBorder="1" applyAlignment="1">
      <alignment horizontal="right" vertical="center" wrapText="1"/>
    </xf>
    <xf numFmtId="3" fontId="2" fillId="2" borderId="12" xfId="0" applyNumberFormat="1" applyFont="1" applyFill="1" applyBorder="1" applyAlignment="1">
      <alignment horizontal="right" vertical="center" wrapText="1"/>
    </xf>
    <xf numFmtId="3" fontId="6" fillId="2" borderId="9" xfId="0" applyNumberFormat="1" applyFont="1" applyFill="1" applyBorder="1" applyAlignment="1">
      <alignment horizontal="right" vertical="center" wrapText="1"/>
    </xf>
    <xf numFmtId="4" fontId="6" fillId="2" borderId="9" xfId="0" applyNumberFormat="1" applyFont="1" applyFill="1" applyBorder="1" applyAlignment="1">
      <alignment horizontal="right" vertical="center" wrapText="1"/>
    </xf>
    <xf numFmtId="4" fontId="10" fillId="2" borderId="9" xfId="0" applyNumberFormat="1" applyFont="1" applyFill="1" applyBorder="1" applyAlignment="1">
      <alignment horizontal="right" vertical="center" wrapText="1"/>
    </xf>
    <xf numFmtId="1" fontId="3" fillId="2" borderId="12" xfId="0" applyNumberFormat="1" applyFont="1" applyFill="1" applyBorder="1" applyAlignment="1">
      <alignment horizontal="right" vertical="center" wrapText="1"/>
    </xf>
    <xf numFmtId="1" fontId="2" fillId="2" borderId="12" xfId="0" applyNumberFormat="1" applyFont="1" applyFill="1" applyBorder="1" applyAlignment="1">
      <alignment horizontal="right" vertical="center" wrapText="1"/>
    </xf>
    <xf numFmtId="0" fontId="10" fillId="2" borderId="13" xfId="0" applyFont="1" applyFill="1" applyBorder="1" applyAlignment="1">
      <alignment vertical="center" wrapText="1"/>
    </xf>
    <xf numFmtId="0" fontId="6" fillId="2" borderId="13" xfId="0" applyFont="1" applyFill="1" applyBorder="1" applyAlignment="1">
      <alignment vertical="top" wrapText="1"/>
    </xf>
    <xf numFmtId="0" fontId="6" fillId="2" borderId="9"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3" fillId="2" borderId="9" xfId="0" applyFont="1" applyFill="1" applyBorder="1" applyAlignment="1">
      <alignment horizontal="right" vertical="center" wrapText="1"/>
    </xf>
    <xf numFmtId="3" fontId="3" fillId="2" borderId="12" xfId="0" applyNumberFormat="1" applyFont="1" applyFill="1" applyBorder="1" applyAlignment="1">
      <alignment horizontal="center" vertical="center" wrapText="1"/>
    </xf>
    <xf numFmtId="3" fontId="2" fillId="2" borderId="12" xfId="0" applyNumberFormat="1" applyFont="1" applyFill="1" applyBorder="1" applyAlignment="1">
      <alignment horizontal="center" vertical="center" wrapText="1"/>
    </xf>
    <xf numFmtId="0" fontId="2" fillId="2" borderId="12" xfId="0" applyFont="1" applyFill="1" applyBorder="1" applyAlignment="1">
      <alignment horizontal="center" vertical="center" textRotation="180" wrapText="1"/>
    </xf>
    <xf numFmtId="4" fontId="3" fillId="2" borderId="12" xfId="0" applyNumberFormat="1" applyFont="1" applyFill="1" applyBorder="1" applyAlignment="1">
      <alignment horizontal="right" vertical="center"/>
    </xf>
    <xf numFmtId="4" fontId="6" fillId="5" borderId="9" xfId="0" applyNumberFormat="1" applyFont="1" applyFill="1" applyBorder="1" applyAlignment="1">
      <alignment horizontal="right" vertical="center"/>
    </xf>
    <xf numFmtId="10" fontId="6" fillId="5" borderId="12" xfId="0" applyNumberFormat="1" applyFont="1" applyFill="1" applyBorder="1" applyAlignment="1">
      <alignment horizontal="right" vertical="center" wrapText="1"/>
    </xf>
    <xf numFmtId="4" fontId="6" fillId="5" borderId="12" xfId="0" applyNumberFormat="1" applyFont="1" applyFill="1" applyBorder="1" applyAlignment="1">
      <alignment horizontal="right" vertical="center" wrapText="1"/>
    </xf>
    <xf numFmtId="0" fontId="6" fillId="5" borderId="14" xfId="0" applyFont="1" applyFill="1" applyBorder="1" applyAlignment="1">
      <alignment vertical="center" wrapText="1"/>
    </xf>
    <xf numFmtId="3" fontId="6" fillId="5" borderId="14" xfId="0" applyNumberFormat="1" applyFont="1" applyFill="1" applyBorder="1" applyAlignment="1">
      <alignment vertical="center" wrapText="1"/>
    </xf>
    <xf numFmtId="3" fontId="6" fillId="5" borderId="17" xfId="0" applyNumberFormat="1" applyFont="1" applyFill="1" applyBorder="1" applyAlignment="1">
      <alignment vertical="center" wrapText="1"/>
    </xf>
    <xf numFmtId="10" fontId="6" fillId="5" borderId="14" xfId="0" applyNumberFormat="1" applyFont="1" applyFill="1" applyBorder="1" applyAlignment="1">
      <alignment vertical="center" wrapText="1"/>
    </xf>
    <xf numFmtId="4" fontId="6" fillId="5" borderId="9" xfId="0" applyNumberFormat="1" applyFont="1" applyFill="1" applyBorder="1" applyAlignment="1">
      <alignment horizontal="right" vertical="center" wrapText="1"/>
    </xf>
    <xf numFmtId="4" fontId="10" fillId="5" borderId="9" xfId="0" applyNumberFormat="1" applyFont="1" applyFill="1" applyBorder="1" applyAlignment="1">
      <alignment horizontal="right" vertical="center"/>
    </xf>
    <xf numFmtId="4" fontId="3" fillId="0" borderId="12" xfId="0" applyNumberFormat="1" applyFont="1" applyBorder="1" applyAlignment="1">
      <alignment horizontal="right" vertical="center"/>
    </xf>
    <xf numFmtId="4" fontId="2" fillId="0" borderId="12" xfId="0" applyNumberFormat="1" applyFont="1" applyBorder="1" applyAlignment="1">
      <alignment horizontal="right" vertical="center"/>
    </xf>
    <xf numFmtId="1" fontId="3" fillId="5" borderId="12" xfId="0" applyNumberFormat="1" applyFont="1" applyFill="1" applyBorder="1" applyAlignment="1">
      <alignment horizontal="right" vertical="center" wrapText="1"/>
    </xf>
    <xf numFmtId="1" fontId="2" fillId="5" borderId="12" xfId="0" applyNumberFormat="1" applyFont="1" applyFill="1" applyBorder="1" applyAlignment="1">
      <alignment horizontal="right" vertical="center" wrapText="1"/>
    </xf>
    <xf numFmtId="2" fontId="3" fillId="5" borderId="12" xfId="0" applyNumberFormat="1" applyFont="1" applyFill="1" applyBorder="1" applyAlignment="1">
      <alignment horizontal="right" vertical="center" wrapText="1"/>
    </xf>
    <xf numFmtId="166" fontId="3" fillId="5" borderId="12" xfId="0" applyNumberFormat="1" applyFont="1" applyFill="1" applyBorder="1" applyAlignment="1">
      <alignment horizontal="right" vertical="center" wrapText="1"/>
    </xf>
    <xf numFmtId="2" fontId="2" fillId="5" borderId="12" xfId="0" applyNumberFormat="1" applyFont="1" applyFill="1" applyBorder="1" applyAlignment="1">
      <alignment horizontal="right" vertical="center" wrapText="1"/>
    </xf>
    <xf numFmtId="0" fontId="2" fillId="5" borderId="12" xfId="0" applyFont="1" applyFill="1" applyBorder="1" applyAlignment="1">
      <alignment horizontal="center" vertical="center" textRotation="180" wrapText="1"/>
    </xf>
    <xf numFmtId="0" fontId="1" fillId="5" borderId="12" xfId="0" applyFont="1" applyFill="1" applyBorder="1"/>
    <xf numFmtId="0" fontId="10" fillId="5" borderId="11" xfId="0" applyFont="1" applyFill="1" applyBorder="1" applyAlignment="1">
      <alignment horizontal="right" vertical="center" textRotation="180"/>
    </xf>
    <xf numFmtId="0" fontId="1" fillId="5" borderId="12" xfId="0" applyFont="1" applyFill="1" applyBorder="1" applyAlignment="1">
      <alignment horizontal="justify" vertical="center"/>
    </xf>
    <xf numFmtId="0" fontId="0" fillId="5" borderId="12" xfId="0" applyFill="1" applyBorder="1" applyAlignment="1">
      <alignment horizontal="justify" vertical="center"/>
    </xf>
    <xf numFmtId="1" fontId="0" fillId="5" borderId="12" xfId="0" applyNumberFormat="1" applyFill="1" applyBorder="1" applyAlignment="1">
      <alignment horizontal="right" vertical="center" wrapText="1"/>
    </xf>
    <xf numFmtId="1" fontId="0" fillId="5" borderId="12" xfId="0" applyNumberFormat="1" applyFill="1" applyBorder="1" applyAlignment="1">
      <alignment horizontal="right" vertical="center"/>
    </xf>
    <xf numFmtId="0" fontId="0" fillId="5" borderId="12" xfId="0" applyFill="1" applyBorder="1" applyAlignment="1">
      <alignment horizontal="right"/>
    </xf>
    <xf numFmtId="0" fontId="0" fillId="5" borderId="12" xfId="0" applyFill="1" applyBorder="1" applyAlignment="1">
      <alignment vertical="center" wrapText="1"/>
    </xf>
    <xf numFmtId="1" fontId="6" fillId="5" borderId="12" xfId="0" applyNumberFormat="1" applyFont="1" applyFill="1" applyBorder="1" applyAlignment="1">
      <alignment horizontal="right" vertical="center" wrapText="1"/>
    </xf>
    <xf numFmtId="1" fontId="6" fillId="5" borderId="12" xfId="0" applyNumberFormat="1" applyFont="1" applyFill="1" applyBorder="1" applyAlignment="1">
      <alignment horizontal="right" vertical="center"/>
    </xf>
    <xf numFmtId="0" fontId="0" fillId="5" borderId="0" xfId="0" applyFill="1" applyAlignment="1">
      <alignment horizontal="center"/>
    </xf>
    <xf numFmtId="1" fontId="6" fillId="5" borderId="12" xfId="0" applyNumberFormat="1" applyFont="1" applyFill="1" applyBorder="1" applyAlignment="1">
      <alignment horizontal="center" vertical="center"/>
    </xf>
    <xf numFmtId="0" fontId="12" fillId="5" borderId="18" xfId="0" applyFont="1" applyFill="1" applyBorder="1" applyAlignment="1">
      <alignment vertical="top"/>
    </xf>
    <xf numFmtId="0" fontId="12" fillId="5" borderId="0" xfId="0" applyFont="1" applyFill="1" applyAlignment="1">
      <alignment vertical="top"/>
    </xf>
    <xf numFmtId="0" fontId="5" fillId="5" borderId="12" xfId="0" applyFont="1" applyFill="1" applyBorder="1" applyAlignment="1">
      <alignment horizontal="center" vertical="center" wrapText="1"/>
    </xf>
    <xf numFmtId="0" fontId="20" fillId="0" borderId="12" xfId="0" applyFont="1" applyBorder="1" applyAlignment="1">
      <alignment horizontal="center" vertical="center" wrapText="1"/>
    </xf>
    <xf numFmtId="0" fontId="9" fillId="5" borderId="12" xfId="0" applyFont="1" applyFill="1" applyBorder="1" applyAlignment="1">
      <alignment horizontal="justify" vertical="center"/>
    </xf>
    <xf numFmtId="0" fontId="8" fillId="5" borderId="12" xfId="0" applyFont="1" applyFill="1" applyBorder="1" applyAlignment="1">
      <alignment horizontal="justify" vertical="center" wrapText="1"/>
    </xf>
    <xf numFmtId="0" fontId="8" fillId="5" borderId="12" xfId="0" applyFont="1" applyFill="1" applyBorder="1" applyAlignment="1">
      <alignment horizontal="justify" vertical="center"/>
    </xf>
    <xf numFmtId="0" fontId="8" fillId="5" borderId="12" xfId="0" applyFont="1" applyFill="1" applyBorder="1" applyAlignment="1">
      <alignment horizontal="center" vertical="center"/>
    </xf>
    <xf numFmtId="0" fontId="8"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21" fillId="0" borderId="12" xfId="0" applyFont="1" applyBorder="1" applyAlignment="1">
      <alignment horizontal="right" vertical="center" wrapText="1"/>
    </xf>
    <xf numFmtId="1" fontId="21" fillId="5" borderId="12" xfId="0" applyNumberFormat="1" applyFont="1" applyFill="1" applyBorder="1" applyAlignment="1">
      <alignment horizontal="right" vertical="center" wrapText="1"/>
    </xf>
    <xf numFmtId="0" fontId="7" fillId="5" borderId="0" xfId="0" applyFont="1" applyFill="1" applyAlignment="1">
      <alignment vertical="center" wrapText="1"/>
    </xf>
    <xf numFmtId="0" fontId="0" fillId="0" borderId="12" xfId="0" applyBorder="1" applyAlignment="1">
      <alignment vertical="top" wrapText="1"/>
    </xf>
    <xf numFmtId="0" fontId="6" fillId="4" borderId="12" xfId="0" applyFont="1" applyFill="1" applyBorder="1" applyAlignment="1">
      <alignment horizontal="right" vertical="center" wrapText="1"/>
    </xf>
    <xf numFmtId="0" fontId="13" fillId="0" borderId="0" xfId="0" applyFont="1" applyAlignment="1">
      <alignment vertical="center"/>
    </xf>
    <xf numFmtId="10" fontId="0" fillId="5" borderId="12" xfId="2" applyNumberFormat="1" applyFont="1" applyFill="1" applyBorder="1"/>
    <xf numFmtId="3" fontId="0" fillId="0" borderId="0" xfId="0" applyNumberFormat="1"/>
    <xf numFmtId="0" fontId="10" fillId="5" borderId="12"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2" xfId="0" applyFont="1" applyFill="1" applyBorder="1" applyAlignment="1">
      <alignment horizontal="right" vertical="center" wrapText="1"/>
    </xf>
    <xf numFmtId="0" fontId="1" fillId="0" borderId="12" xfId="0" applyFont="1" applyBorder="1" applyAlignment="1">
      <alignment horizontal="center" vertical="center"/>
    </xf>
    <xf numFmtId="0" fontId="10" fillId="5" borderId="12" xfId="0" applyFont="1" applyFill="1" applyBorder="1" applyAlignment="1">
      <alignment horizontal="right" vertical="center"/>
    </xf>
    <xf numFmtId="0" fontId="10" fillId="5"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2" fillId="2" borderId="12" xfId="0" applyFont="1" applyFill="1" applyBorder="1" applyAlignment="1">
      <alignment horizontal="center" vertical="center"/>
    </xf>
    <xf numFmtId="0" fontId="6" fillId="5" borderId="12" xfId="0" applyFont="1" applyFill="1" applyBorder="1" applyAlignment="1">
      <alignment vertical="center"/>
    </xf>
    <xf numFmtId="0" fontId="1" fillId="0" borderId="9" xfId="0" applyFont="1" applyBorder="1" applyAlignment="1">
      <alignment horizontal="center"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6" fillId="5" borderId="13" xfId="0" applyFont="1" applyFill="1" applyBorder="1" applyAlignment="1">
      <alignment vertical="center"/>
    </xf>
    <xf numFmtId="3" fontId="6" fillId="5" borderId="9" xfId="0" applyNumberFormat="1" applyFont="1" applyFill="1" applyBorder="1" applyAlignment="1">
      <alignment horizontal="right" vertical="center"/>
    </xf>
    <xf numFmtId="0" fontId="6" fillId="5" borderId="12" xfId="0" applyFont="1" applyFill="1" applyBorder="1" applyAlignment="1">
      <alignment horizontal="right" vertical="center"/>
    </xf>
    <xf numFmtId="3" fontId="6" fillId="5" borderId="12" xfId="0" applyNumberFormat="1" applyFont="1" applyFill="1" applyBorder="1" applyAlignment="1">
      <alignment horizontal="right" vertical="center"/>
    </xf>
    <xf numFmtId="10" fontId="6" fillId="5" borderId="12" xfId="0" applyNumberFormat="1" applyFont="1" applyFill="1" applyBorder="1" applyAlignment="1">
      <alignment horizontal="right" vertical="center"/>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2" xfId="0" applyFont="1" applyFill="1" applyBorder="1" applyAlignment="1">
      <alignment vertical="center" wrapText="1"/>
    </xf>
    <xf numFmtId="0" fontId="2" fillId="5" borderId="12" xfId="0" applyFont="1" applyFill="1" applyBorder="1" applyAlignment="1">
      <alignment horizontal="center" vertical="center" wrapText="1"/>
    </xf>
    <xf numFmtId="0" fontId="1" fillId="5" borderId="12" xfId="0" applyFont="1" applyFill="1" applyBorder="1" applyAlignment="1">
      <alignment vertical="center" wrapText="1"/>
    </xf>
    <xf numFmtId="0" fontId="6" fillId="5" borderId="12" xfId="0" applyFont="1" applyFill="1" applyBorder="1" applyAlignment="1">
      <alignment horizontal="center" vertical="center"/>
    </xf>
    <xf numFmtId="0" fontId="1" fillId="5" borderId="12" xfId="0" applyFont="1" applyFill="1" applyBorder="1" applyAlignment="1">
      <alignment horizontal="center" vertical="center" wrapText="1"/>
    </xf>
    <xf numFmtId="0" fontId="8" fillId="5" borderId="12" xfId="0" applyFont="1" applyFill="1" applyBorder="1" applyAlignment="1">
      <alignment vertical="center"/>
    </xf>
    <xf numFmtId="0" fontId="8" fillId="5" borderId="12" xfId="0" applyFont="1" applyFill="1" applyBorder="1" applyAlignment="1">
      <alignment vertical="center" wrapText="1"/>
    </xf>
    <xf numFmtId="0" fontId="0" fillId="5" borderId="12" xfId="0" applyFill="1" applyBorder="1" applyAlignment="1">
      <alignment vertical="center"/>
    </xf>
    <xf numFmtId="0" fontId="1" fillId="5" borderId="12" xfId="0" applyFont="1" applyFill="1" applyBorder="1" applyAlignment="1">
      <alignment horizontal="center" vertical="center"/>
    </xf>
    <xf numFmtId="0" fontId="6" fillId="0" borderId="0" xfId="0" applyFont="1"/>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165" fontId="6" fillId="0" borderId="3" xfId="0" applyNumberFormat="1" applyFont="1" applyBorder="1" applyAlignment="1">
      <alignment horizontal="right" vertical="center"/>
    </xf>
    <xf numFmtId="3" fontId="10" fillId="0" borderId="3" xfId="0" applyNumberFormat="1" applyFont="1" applyBorder="1" applyAlignment="1">
      <alignment horizontal="right" vertical="center"/>
    </xf>
    <xf numFmtId="165" fontId="10" fillId="0" borderId="3" xfId="0" applyNumberFormat="1" applyFont="1" applyBorder="1" applyAlignment="1">
      <alignment horizontal="right" vertical="center"/>
    </xf>
    <xf numFmtId="0" fontId="23" fillId="2" borderId="12" xfId="0" applyFont="1" applyFill="1" applyBorder="1" applyAlignment="1">
      <alignment vertical="center"/>
    </xf>
    <xf numFmtId="0" fontId="23" fillId="2" borderId="12" xfId="0" applyFont="1" applyFill="1" applyBorder="1" applyAlignment="1">
      <alignment horizontal="right" textRotation="180" wrapText="1"/>
    </xf>
    <xf numFmtId="0" fontId="24" fillId="2" borderId="12" xfId="0" applyFont="1" applyFill="1" applyBorder="1" applyAlignment="1">
      <alignment vertical="center" wrapText="1"/>
    </xf>
    <xf numFmtId="0" fontId="24" fillId="2" borderId="12" xfId="0" applyFont="1" applyFill="1" applyBorder="1" applyAlignment="1">
      <alignment horizontal="right" vertical="center"/>
    </xf>
    <xf numFmtId="0" fontId="24" fillId="2" borderId="12" xfId="0" applyFont="1" applyFill="1" applyBorder="1" applyAlignment="1">
      <alignment horizontal="right" vertical="center" wrapText="1"/>
    </xf>
    <xf numFmtId="4" fontId="24" fillId="2" borderId="12" xfId="0" applyNumberFormat="1" applyFont="1" applyFill="1" applyBorder="1" applyAlignment="1">
      <alignment horizontal="right" vertical="center" wrapText="1"/>
    </xf>
    <xf numFmtId="4" fontId="24" fillId="2" borderId="12" xfId="0" applyNumberFormat="1" applyFont="1" applyFill="1" applyBorder="1" applyAlignment="1">
      <alignment horizontal="right" vertical="center"/>
    </xf>
    <xf numFmtId="3" fontId="24" fillId="2" borderId="12" xfId="0" applyNumberFormat="1" applyFont="1" applyFill="1" applyBorder="1" applyAlignment="1">
      <alignment horizontal="right" vertical="center"/>
    </xf>
    <xf numFmtId="3" fontId="24" fillId="2" borderId="12" xfId="0" applyNumberFormat="1" applyFont="1" applyFill="1" applyBorder="1" applyAlignment="1">
      <alignment horizontal="right" vertical="center" wrapText="1"/>
    </xf>
    <xf numFmtId="0" fontId="23" fillId="2" borderId="12" xfId="0" applyFont="1" applyFill="1" applyBorder="1" applyAlignment="1">
      <alignment vertical="center" wrapText="1"/>
    </xf>
    <xf numFmtId="0" fontId="23" fillId="2" borderId="12" xfId="0" applyFont="1" applyFill="1" applyBorder="1" applyAlignment="1">
      <alignment horizontal="right" vertical="center"/>
    </xf>
    <xf numFmtId="3" fontId="23" fillId="2" borderId="12" xfId="0" applyNumberFormat="1" applyFont="1" applyFill="1" applyBorder="1" applyAlignment="1">
      <alignment horizontal="right" vertical="center"/>
    </xf>
    <xf numFmtId="4" fontId="23" fillId="2" borderId="12" xfId="0" applyNumberFormat="1" applyFont="1" applyFill="1" applyBorder="1" applyAlignment="1">
      <alignment horizontal="right" vertical="center"/>
    </xf>
    <xf numFmtId="0" fontId="23" fillId="2" borderId="12" xfId="0" applyFont="1" applyFill="1" applyBorder="1" applyAlignment="1">
      <alignment horizontal="right" vertical="center" wrapText="1"/>
    </xf>
    <xf numFmtId="3" fontId="23" fillId="2" borderId="12" xfId="0" applyNumberFormat="1" applyFont="1" applyFill="1" applyBorder="1" applyAlignment="1">
      <alignment horizontal="right" vertical="center" wrapText="1"/>
    </xf>
    <xf numFmtId="4" fontId="23" fillId="2" borderId="12" xfId="0" applyNumberFormat="1" applyFont="1" applyFill="1" applyBorder="1" applyAlignment="1">
      <alignment horizontal="right" vertical="center" wrapText="1"/>
    </xf>
    <xf numFmtId="0" fontId="23" fillId="2" borderId="12" xfId="0" applyFont="1" applyFill="1" applyBorder="1"/>
    <xf numFmtId="0" fontId="8" fillId="0" borderId="0" xfId="0" applyFont="1" applyAlignment="1">
      <alignment horizontal="justify" vertical="center"/>
    </xf>
    <xf numFmtId="3" fontId="6" fillId="5" borderId="0" xfId="0" applyNumberFormat="1" applyFont="1" applyFill="1"/>
    <xf numFmtId="3" fontId="19" fillId="5" borderId="0" xfId="0" applyNumberFormat="1" applyFont="1" applyFill="1"/>
    <xf numFmtId="10" fontId="10" fillId="0" borderId="12" xfId="0" applyNumberFormat="1" applyFont="1" applyBorder="1" applyAlignment="1">
      <alignment horizontal="right" vertical="center"/>
    </xf>
    <xf numFmtId="0" fontId="0" fillId="5" borderId="0" xfId="0" applyFill="1" applyAlignment="1">
      <alignment horizontal="center" vertical="center"/>
    </xf>
    <xf numFmtId="3" fontId="6" fillId="2" borderId="12" xfId="0" applyNumberFormat="1" applyFont="1" applyFill="1" applyBorder="1" applyAlignment="1">
      <alignment horizontal="center" vertical="center"/>
    </xf>
    <xf numFmtId="0" fontId="6" fillId="0" borderId="12" xfId="0" applyFont="1" applyBorder="1" applyAlignment="1">
      <alignment horizontal="center" vertical="center"/>
    </xf>
    <xf numFmtId="3" fontId="6" fillId="0" borderId="12" xfId="0" applyNumberFormat="1" applyFont="1" applyBorder="1" applyAlignment="1">
      <alignment horizontal="center" vertical="center"/>
    </xf>
    <xf numFmtId="0" fontId="6" fillId="2" borderId="12" xfId="0" applyFont="1" applyFill="1" applyBorder="1" applyAlignment="1">
      <alignment horizontal="center" vertical="center"/>
    </xf>
    <xf numFmtId="3" fontId="3" fillId="2" borderId="12" xfId="0" applyNumberFormat="1" applyFont="1" applyFill="1" applyBorder="1" applyAlignment="1">
      <alignment horizontal="center" vertical="center"/>
    </xf>
    <xf numFmtId="3" fontId="6" fillId="5" borderId="12" xfId="0" applyNumberFormat="1" applyFont="1" applyFill="1" applyBorder="1" applyAlignment="1">
      <alignment horizontal="center" vertical="center"/>
    </xf>
    <xf numFmtId="3" fontId="10" fillId="5" borderId="12" xfId="0" applyNumberFormat="1" applyFont="1" applyFill="1" applyBorder="1" applyAlignment="1">
      <alignment horizontal="center" vertical="center"/>
    </xf>
    <xf numFmtId="167" fontId="6" fillId="0" borderId="3" xfId="0" applyNumberFormat="1" applyFont="1" applyBorder="1" applyAlignment="1">
      <alignment horizontal="right" vertical="center"/>
    </xf>
    <xf numFmtId="167" fontId="10" fillId="0" borderId="3" xfId="0" applyNumberFormat="1" applyFont="1" applyBorder="1" applyAlignment="1">
      <alignment horizontal="right" vertical="center"/>
    </xf>
    <xf numFmtId="1" fontId="6" fillId="2" borderId="12" xfId="0" applyNumberFormat="1" applyFont="1" applyFill="1" applyBorder="1" applyAlignment="1">
      <alignment horizontal="right" vertical="center" wrapText="1"/>
    </xf>
    <xf numFmtId="3" fontId="10" fillId="5" borderId="10" xfId="0" applyNumberFormat="1" applyFont="1" applyFill="1" applyBorder="1" applyAlignment="1">
      <alignment horizontal="right" vertical="center"/>
    </xf>
    <xf numFmtId="0" fontId="0" fillId="5" borderId="12" xfId="0" applyFill="1" applyBorder="1" applyAlignment="1">
      <alignment wrapText="1"/>
    </xf>
    <xf numFmtId="3" fontId="0" fillId="5" borderId="12" xfId="0" applyNumberFormat="1" applyFill="1" applyBorder="1"/>
    <xf numFmtId="0" fontId="0" fillId="5" borderId="12" xfId="0" applyFill="1" applyBorder="1"/>
    <xf numFmtId="0" fontId="21" fillId="0" borderId="2" xfId="0" applyFont="1" applyBorder="1" applyAlignment="1">
      <alignment vertical="center" wrapText="1"/>
    </xf>
    <xf numFmtId="3" fontId="21" fillId="0" borderId="3" xfId="0" applyNumberFormat="1" applyFont="1" applyBorder="1" applyAlignment="1">
      <alignment horizontal="right" vertical="center"/>
    </xf>
    <xf numFmtId="10" fontId="21" fillId="2" borderId="3" xfId="0" applyNumberFormat="1" applyFont="1" applyFill="1" applyBorder="1" applyAlignment="1">
      <alignment horizontal="right" vertical="center" wrapText="1"/>
    </xf>
    <xf numFmtId="3" fontId="21" fillId="0" borderId="22" xfId="0" applyNumberFormat="1" applyFont="1" applyBorder="1" applyAlignment="1">
      <alignment horizontal="right" vertical="center"/>
    </xf>
    <xf numFmtId="3" fontId="21" fillId="0" borderId="23" xfId="0" applyNumberFormat="1" applyFont="1" applyBorder="1" applyAlignment="1">
      <alignment horizontal="right" vertical="center"/>
    </xf>
    <xf numFmtId="3" fontId="21" fillId="0" borderId="24" xfId="0" applyNumberFormat="1" applyFont="1" applyBorder="1" applyAlignment="1">
      <alignment horizontal="right" vertical="center"/>
    </xf>
    <xf numFmtId="3" fontId="21" fillId="0" borderId="25" xfId="0" applyNumberFormat="1" applyFont="1" applyBorder="1" applyAlignment="1">
      <alignment horizontal="right" vertical="center"/>
    </xf>
    <xf numFmtId="0" fontId="21" fillId="2" borderId="2" xfId="0" applyFont="1" applyFill="1" applyBorder="1" applyAlignment="1">
      <alignment vertical="center" wrapText="1"/>
    </xf>
    <xf numFmtId="3" fontId="24" fillId="0" borderId="3" xfId="0" applyNumberFormat="1" applyFont="1" applyBorder="1" applyAlignment="1">
      <alignment horizontal="right" vertical="center"/>
    </xf>
    <xf numFmtId="0" fontId="24" fillId="0" borderId="3" xfId="0" applyFont="1" applyBorder="1" applyAlignment="1">
      <alignment horizontal="right" vertical="center"/>
    </xf>
    <xf numFmtId="3" fontId="21" fillId="0" borderId="3" xfId="0" applyNumberFormat="1" applyFont="1" applyBorder="1" applyAlignment="1">
      <alignment vertical="center"/>
    </xf>
    <xf numFmtId="3" fontId="21" fillId="0" borderId="1" xfId="0" applyNumberFormat="1" applyFont="1" applyBorder="1" applyAlignment="1">
      <alignment horizontal="right" vertical="center"/>
    </xf>
    <xf numFmtId="0" fontId="21" fillId="0" borderId="1" xfId="0" applyFont="1" applyBorder="1" applyAlignment="1">
      <alignment horizontal="right" vertical="center"/>
    </xf>
    <xf numFmtId="0" fontId="21" fillId="0" borderId="3" xfId="0" applyFont="1" applyBorder="1" applyAlignment="1">
      <alignment horizontal="right" vertical="center"/>
    </xf>
    <xf numFmtId="3" fontId="21" fillId="0" borderId="8" xfId="0" applyNumberFormat="1" applyFont="1" applyBorder="1" applyAlignment="1">
      <alignment horizontal="left" vertical="center"/>
    </xf>
    <xf numFmtId="3" fontId="21" fillId="0" borderId="3" xfId="0" applyNumberFormat="1" applyFont="1" applyBorder="1" applyAlignment="1">
      <alignment horizontal="left" vertical="center"/>
    </xf>
    <xf numFmtId="0" fontId="3" fillId="2" borderId="26"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0" fillId="2" borderId="12" xfId="0" applyFill="1" applyBorder="1" applyAlignment="1">
      <alignment horizontal="right" vertical="center" wrapText="1"/>
    </xf>
    <xf numFmtId="0" fontId="1" fillId="0" borderId="20" xfId="0" applyFont="1" applyBorder="1" applyAlignment="1">
      <alignment vertical="center"/>
    </xf>
    <xf numFmtId="0" fontId="0" fillId="0" borderId="14" xfId="0" applyBorder="1" applyAlignment="1">
      <alignment vertical="center"/>
    </xf>
    <xf numFmtId="3" fontId="0" fillId="0" borderId="14" xfId="0" applyNumberFormat="1" applyBorder="1" applyAlignment="1">
      <alignment horizontal="right" vertical="center" wrapText="1"/>
    </xf>
    <xf numFmtId="3" fontId="0" fillId="0" borderId="17" xfId="0" applyNumberFormat="1" applyBorder="1" applyAlignment="1">
      <alignment horizontal="right" vertical="center" wrapText="1"/>
    </xf>
    <xf numFmtId="3" fontId="6" fillId="0" borderId="14" xfId="0" applyNumberFormat="1" applyFont="1" applyBorder="1" applyAlignment="1">
      <alignment horizontal="right" vertical="center" wrapText="1"/>
    </xf>
    <xf numFmtId="3" fontId="1" fillId="0" borderId="20" xfId="0" applyNumberFormat="1" applyFont="1" applyBorder="1" applyAlignment="1">
      <alignment horizontal="right" vertical="center" wrapText="1"/>
    </xf>
    <xf numFmtId="3" fontId="10" fillId="0" borderId="20" xfId="0" applyNumberFormat="1" applyFont="1" applyBorder="1" applyAlignment="1">
      <alignment horizontal="right" vertical="center" wrapText="1"/>
    </xf>
    <xf numFmtId="0" fontId="0" fillId="0" borderId="0" xfId="0" applyAlignment="1">
      <alignment horizontal="left" vertical="top"/>
    </xf>
    <xf numFmtId="0" fontId="0" fillId="0" borderId="19" xfId="0" applyBorder="1" applyAlignment="1">
      <alignment vertical="center" wrapText="1"/>
    </xf>
    <xf numFmtId="3" fontId="0" fillId="0" borderId="14" xfId="0" applyNumberFormat="1" applyBorder="1" applyAlignment="1">
      <alignment horizontal="right" vertical="center"/>
    </xf>
    <xf numFmtId="0" fontId="0" fillId="0" borderId="14" xfId="0" applyBorder="1" applyAlignment="1">
      <alignment horizontal="right" vertical="center"/>
    </xf>
    <xf numFmtId="0" fontId="0" fillId="0" borderId="14" xfId="0" applyBorder="1" applyAlignment="1">
      <alignment horizontal="right" vertical="center" wrapText="1"/>
    </xf>
    <xf numFmtId="0" fontId="1" fillId="0" borderId="20" xfId="0" applyFont="1" applyBorder="1" applyAlignment="1">
      <alignment horizontal="left" vertical="top"/>
    </xf>
    <xf numFmtId="0" fontId="1" fillId="0" borderId="20" xfId="0" applyFont="1" applyBorder="1" applyAlignment="1">
      <alignment vertical="center" wrapText="1"/>
    </xf>
    <xf numFmtId="0" fontId="0" fillId="0" borderId="27" xfId="0" applyBorder="1" applyAlignment="1">
      <alignment vertical="center" wrapText="1"/>
    </xf>
    <xf numFmtId="3" fontId="1" fillId="0" borderId="20" xfId="0" applyNumberFormat="1" applyFont="1" applyBorder="1" applyAlignment="1">
      <alignment horizontal="right" vertical="center"/>
    </xf>
    <xf numFmtId="0" fontId="1" fillId="0" borderId="20" xfId="0" applyFont="1" applyBorder="1" applyAlignment="1">
      <alignment horizontal="right" vertical="center"/>
    </xf>
    <xf numFmtId="0" fontId="1" fillId="0" borderId="20" xfId="0" applyFont="1" applyBorder="1" applyAlignment="1">
      <alignment horizontal="right" vertical="center" wrapText="1"/>
    </xf>
    <xf numFmtId="0" fontId="10" fillId="0" borderId="20" xfId="0" applyFont="1" applyBorder="1" applyAlignment="1">
      <alignment horizontal="right" vertical="center" wrapText="1"/>
    </xf>
    <xf numFmtId="3" fontId="1" fillId="0" borderId="27" xfId="0" applyNumberFormat="1" applyFont="1" applyBorder="1" applyAlignment="1">
      <alignment horizontal="right" vertical="center"/>
    </xf>
    <xf numFmtId="0" fontId="1" fillId="0" borderId="27" xfId="0" applyFont="1" applyBorder="1" applyAlignment="1">
      <alignment horizontal="right" vertical="center"/>
    </xf>
    <xf numFmtId="3" fontId="1" fillId="0" borderId="27" xfId="0" applyNumberFormat="1" applyFont="1" applyBorder="1" applyAlignment="1">
      <alignment horizontal="right" vertical="center" wrapText="1"/>
    </xf>
    <xf numFmtId="3" fontId="10" fillId="0" borderId="27" xfId="0" applyNumberFormat="1" applyFont="1" applyBorder="1" applyAlignment="1">
      <alignment horizontal="right" vertical="center" wrapText="1"/>
    </xf>
    <xf numFmtId="3" fontId="2" fillId="2" borderId="12" xfId="0" applyNumberFormat="1" applyFont="1" applyFill="1" applyBorder="1" applyAlignment="1">
      <alignment horizontal="right" vertical="center"/>
    </xf>
    <xf numFmtId="1" fontId="2" fillId="2" borderId="12" xfId="0" applyNumberFormat="1" applyFont="1" applyFill="1" applyBorder="1" applyAlignment="1">
      <alignment horizontal="right" vertical="center"/>
    </xf>
    <xf numFmtId="3" fontId="10" fillId="5" borderId="20" xfId="0" applyNumberFormat="1" applyFont="1" applyFill="1" applyBorder="1"/>
    <xf numFmtId="0" fontId="10" fillId="5" borderId="13" xfId="0" applyFont="1" applyFill="1" applyBorder="1" applyAlignment="1">
      <alignment horizontal="right" vertical="center" wrapText="1"/>
    </xf>
    <xf numFmtId="0" fontId="1" fillId="5" borderId="20" xfId="0" applyFont="1" applyFill="1" applyBorder="1" applyAlignment="1">
      <alignment horizontal="right"/>
    </xf>
    <xf numFmtId="0" fontId="0" fillId="5" borderId="20" xfId="0" applyFill="1" applyBorder="1"/>
    <xf numFmtId="0" fontId="6" fillId="5" borderId="19" xfId="0" applyFont="1" applyFill="1" applyBorder="1" applyAlignment="1">
      <alignment vertical="center" wrapText="1"/>
    </xf>
    <xf numFmtId="0" fontId="6" fillId="2" borderId="14" xfId="0" applyFont="1" applyFill="1" applyBorder="1" applyAlignment="1">
      <alignment horizontal="center" vertical="center"/>
    </xf>
    <xf numFmtId="3" fontId="6" fillId="5" borderId="14" xfId="0" applyNumberFormat="1" applyFont="1" applyFill="1" applyBorder="1" applyAlignment="1">
      <alignment horizontal="right" vertical="center"/>
    </xf>
    <xf numFmtId="0" fontId="1" fillId="5" borderId="20" xfId="0" applyFont="1" applyFill="1" applyBorder="1"/>
    <xf numFmtId="3" fontId="1" fillId="5" borderId="20" xfId="0" applyNumberFormat="1" applyFont="1" applyFill="1" applyBorder="1"/>
    <xf numFmtId="0" fontId="1" fillId="5" borderId="13" xfId="0" applyFont="1" applyFill="1" applyBorder="1" applyAlignment="1">
      <alignment horizontal="right"/>
    </xf>
    <xf numFmtId="0" fontId="10" fillId="2" borderId="12" xfId="0" applyFont="1" applyFill="1" applyBorder="1" applyAlignment="1">
      <alignment horizontal="center" vertical="center"/>
    </xf>
    <xf numFmtId="0" fontId="0" fillId="5" borderId="14" xfId="0" applyFill="1" applyBorder="1" applyAlignment="1">
      <alignment wrapText="1"/>
    </xf>
    <xf numFmtId="3" fontId="0" fillId="5" borderId="14" xfId="0" applyNumberFormat="1" applyFill="1" applyBorder="1"/>
    <xf numFmtId="3" fontId="10" fillId="2" borderId="12" xfId="0" applyNumberFormat="1" applyFont="1" applyFill="1" applyBorder="1" applyAlignment="1">
      <alignment horizontal="center" vertical="center"/>
    </xf>
    <xf numFmtId="0" fontId="1" fillId="5" borderId="20" xfId="0" applyFont="1" applyFill="1" applyBorder="1" applyAlignment="1">
      <alignment vertical="center"/>
    </xf>
    <xf numFmtId="3" fontId="6" fillId="5" borderId="14" xfId="0" applyNumberFormat="1" applyFont="1" applyFill="1" applyBorder="1" applyAlignment="1">
      <alignment horizontal="right" vertical="center" wrapText="1"/>
    </xf>
    <xf numFmtId="0" fontId="6" fillId="5" borderId="14" xfId="0" applyFont="1" applyFill="1" applyBorder="1" applyAlignment="1">
      <alignment horizontal="right" vertical="center" wrapText="1"/>
    </xf>
    <xf numFmtId="0" fontId="6" fillId="2" borderId="14" xfId="0" applyFont="1" applyFill="1" applyBorder="1" applyAlignment="1">
      <alignment vertical="center" wrapText="1"/>
    </xf>
    <xf numFmtId="3" fontId="6" fillId="0" borderId="14" xfId="0" applyNumberFormat="1" applyFont="1" applyBorder="1" applyAlignment="1">
      <alignment horizontal="right" vertical="center"/>
    </xf>
    <xf numFmtId="0" fontId="6" fillId="2" borderId="14" xfId="0" applyFont="1" applyFill="1" applyBorder="1" applyAlignment="1">
      <alignment horizontal="right" vertical="center"/>
    </xf>
    <xf numFmtId="4" fontId="6" fillId="5" borderId="0" xfId="0" applyNumberFormat="1" applyFont="1" applyFill="1"/>
    <xf numFmtId="4" fontId="3" fillId="2" borderId="14" xfId="0" applyNumberFormat="1" applyFont="1" applyFill="1" applyBorder="1" applyAlignment="1">
      <alignment horizontal="right" vertical="center"/>
    </xf>
    <xf numFmtId="3" fontId="3" fillId="2" borderId="14" xfId="0" applyNumberFormat="1" applyFont="1" applyFill="1" applyBorder="1" applyAlignment="1">
      <alignment horizontal="right" vertical="center"/>
    </xf>
    <xf numFmtId="3" fontId="6" fillId="5" borderId="17" xfId="0" applyNumberFormat="1" applyFont="1" applyFill="1" applyBorder="1" applyAlignment="1">
      <alignment horizontal="right" vertical="center"/>
    </xf>
    <xf numFmtId="0" fontId="6" fillId="5" borderId="14" xfId="0" applyFont="1" applyFill="1" applyBorder="1" applyAlignment="1">
      <alignment horizontal="right" vertical="center"/>
    </xf>
    <xf numFmtId="0" fontId="10" fillId="5" borderId="20" xfId="0" applyFont="1" applyFill="1" applyBorder="1" applyAlignment="1">
      <alignment wrapText="1"/>
    </xf>
    <xf numFmtId="4" fontId="10" fillId="5" borderId="20" xfId="0" applyNumberFormat="1" applyFont="1" applyFill="1" applyBorder="1" applyAlignment="1">
      <alignment wrapText="1"/>
    </xf>
    <xf numFmtId="3" fontId="10" fillId="5" borderId="20" xfId="0" applyNumberFormat="1" applyFont="1" applyFill="1" applyBorder="1" applyAlignment="1">
      <alignment wrapText="1"/>
    </xf>
    <xf numFmtId="0" fontId="3" fillId="0" borderId="12" xfId="0" applyFont="1" applyBorder="1" applyAlignment="1">
      <alignment horizontal="right" vertical="center" wrapText="1"/>
    </xf>
    <xf numFmtId="0" fontId="25" fillId="0" borderId="0" xfId="0" applyFont="1"/>
    <xf numFmtId="0" fontId="16" fillId="0" borderId="0" xfId="1"/>
    <xf numFmtId="0" fontId="16" fillId="5" borderId="0" xfId="1" applyFill="1"/>
    <xf numFmtId="0" fontId="16" fillId="5" borderId="0" xfId="1" applyFill="1" applyAlignment="1">
      <alignment wrapText="1"/>
    </xf>
    <xf numFmtId="3" fontId="10" fillId="5" borderId="0" xfId="0" applyNumberFormat="1" applyFont="1" applyFill="1" applyAlignment="1">
      <alignment horizontal="right" vertical="center"/>
    </xf>
    <xf numFmtId="3" fontId="10" fillId="5" borderId="0" xfId="0" applyNumberFormat="1" applyFont="1" applyFill="1" applyAlignment="1">
      <alignment horizontal="center" vertical="center"/>
    </xf>
    <xf numFmtId="3" fontId="21" fillId="0" borderId="29" xfId="0" applyNumberFormat="1" applyFont="1" applyBorder="1" applyAlignment="1">
      <alignment horizontal="right" vertical="center"/>
    </xf>
    <xf numFmtId="3" fontId="21" fillId="0" borderId="8" xfId="0" applyNumberFormat="1" applyFont="1" applyBorder="1" applyAlignment="1">
      <alignment horizontal="right" vertical="center"/>
    </xf>
    <xf numFmtId="3" fontId="21" fillId="0" borderId="30" xfId="0" applyNumberFormat="1" applyFont="1" applyBorder="1" applyAlignment="1">
      <alignment horizontal="right" vertical="center"/>
    </xf>
    <xf numFmtId="9" fontId="21" fillId="0" borderId="12" xfId="0" applyNumberFormat="1" applyFont="1" applyBorder="1" applyAlignment="1">
      <alignment horizontal="right" vertical="center"/>
    </xf>
    <xf numFmtId="0" fontId="3" fillId="2" borderId="12" xfId="0" applyFont="1" applyFill="1" applyBorder="1" applyAlignment="1">
      <alignment horizontal="justify" vertical="center"/>
    </xf>
    <xf numFmtId="14" fontId="2" fillId="2" borderId="12" xfId="0" applyNumberFormat="1" applyFont="1" applyFill="1" applyBorder="1" applyAlignment="1">
      <alignment horizontal="center" vertical="center"/>
    </xf>
    <xf numFmtId="10" fontId="10" fillId="2" borderId="12" xfId="0" applyNumberFormat="1" applyFont="1" applyFill="1" applyBorder="1" applyAlignment="1">
      <alignment horizontal="right" vertical="center"/>
    </xf>
    <xf numFmtId="4" fontId="3" fillId="2" borderId="17" xfId="0" applyNumberFormat="1" applyFont="1" applyFill="1" applyBorder="1" applyAlignment="1">
      <alignment horizontal="right" vertical="center"/>
    </xf>
    <xf numFmtId="9" fontId="10" fillId="2" borderId="12" xfId="0" applyNumberFormat="1" applyFont="1" applyFill="1" applyBorder="1" applyAlignment="1">
      <alignment vertical="center"/>
    </xf>
    <xf numFmtId="0" fontId="13" fillId="5" borderId="0" xfId="0" applyFont="1" applyFill="1" applyAlignment="1">
      <alignment wrapText="1"/>
    </xf>
    <xf numFmtId="0" fontId="27" fillId="0" borderId="12" xfId="0" applyFont="1" applyBorder="1" applyAlignment="1">
      <alignment vertical="center" wrapText="1"/>
    </xf>
    <xf numFmtId="4" fontId="1" fillId="0" borderId="12" xfId="0" applyNumberFormat="1" applyFont="1" applyBorder="1" applyAlignment="1">
      <alignment horizontal="right" vertical="center" wrapText="1"/>
    </xf>
    <xf numFmtId="0" fontId="1" fillId="5" borderId="27" xfId="0" applyFont="1" applyFill="1" applyBorder="1" applyAlignment="1">
      <alignment horizontal="right"/>
    </xf>
    <xf numFmtId="0" fontId="1" fillId="5" borderId="27" xfId="0" applyFont="1" applyFill="1" applyBorder="1"/>
    <xf numFmtId="3" fontId="1" fillId="5" borderId="27" xfId="0" applyNumberFormat="1" applyFont="1" applyFill="1" applyBorder="1"/>
    <xf numFmtId="0" fontId="3" fillId="0" borderId="12" xfId="0" applyFont="1" applyBorder="1"/>
    <xf numFmtId="164" fontId="6" fillId="5" borderId="0" xfId="3" applyFont="1" applyFill="1"/>
    <xf numFmtId="164" fontId="6" fillId="5" borderId="0" xfId="0" applyNumberFormat="1" applyFont="1" applyFill="1"/>
    <xf numFmtId="0" fontId="6" fillId="0" borderId="13" xfId="0" applyFont="1" applyBorder="1" applyAlignment="1">
      <alignment horizontal="right" vertical="center" wrapText="1"/>
    </xf>
    <xf numFmtId="0" fontId="1" fillId="0" borderId="15" xfId="0" applyFont="1" applyBorder="1" applyAlignment="1">
      <alignment horizontal="center" vertical="center" wrapText="1"/>
    </xf>
    <xf numFmtId="0" fontId="6" fillId="6" borderId="12" xfId="0" applyFont="1" applyFill="1" applyBorder="1" applyAlignment="1">
      <alignment horizontal="right" vertical="center" wrapText="1"/>
    </xf>
    <xf numFmtId="0" fontId="6" fillId="6" borderId="13" xfId="0" applyFont="1" applyFill="1" applyBorder="1" applyAlignment="1">
      <alignment horizontal="right" vertical="center" wrapText="1"/>
    </xf>
    <xf numFmtId="0" fontId="1" fillId="0" borderId="12" xfId="0" applyFont="1" applyBorder="1" applyAlignment="1">
      <alignment horizontal="center" vertical="top" wrapText="1"/>
    </xf>
    <xf numFmtId="0" fontId="10" fillId="5" borderId="13" xfId="0" applyFont="1" applyFill="1" applyBorder="1" applyAlignment="1">
      <alignment vertical="center" wrapText="1"/>
    </xf>
    <xf numFmtId="3" fontId="0" fillId="0" borderId="3" xfId="0" applyNumberFormat="1" applyBorder="1" applyAlignment="1">
      <alignment horizontal="right" vertical="center"/>
    </xf>
    <xf numFmtId="3" fontId="1" fillId="0" borderId="3" xfId="0" applyNumberFormat="1" applyFont="1" applyBorder="1" applyAlignment="1">
      <alignment horizontal="right" vertical="center"/>
    </xf>
    <xf numFmtId="3" fontId="6" fillId="0" borderId="3" xfId="0" applyNumberFormat="1" applyFont="1" applyBorder="1" applyAlignment="1">
      <alignment horizontal="right" vertical="center"/>
    </xf>
    <xf numFmtId="168" fontId="0" fillId="5" borderId="12" xfId="2" applyNumberFormat="1" applyFont="1" applyFill="1" applyBorder="1"/>
    <xf numFmtId="0" fontId="18" fillId="7" borderId="12" xfId="0" applyFont="1" applyFill="1" applyBorder="1"/>
    <xf numFmtId="0" fontId="18" fillId="7" borderId="11" xfId="0" applyFont="1" applyFill="1" applyBorder="1"/>
    <xf numFmtId="168" fontId="6" fillId="5" borderId="14" xfId="0" applyNumberFormat="1" applyFont="1" applyFill="1" applyBorder="1" applyAlignment="1">
      <alignment vertical="center" wrapText="1"/>
    </xf>
    <xf numFmtId="0" fontId="12" fillId="5" borderId="13" xfId="0" applyFont="1" applyFill="1" applyBorder="1" applyAlignment="1">
      <alignment vertical="center"/>
    </xf>
    <xf numFmtId="9" fontId="21" fillId="0" borderId="9" xfId="0" applyNumberFormat="1" applyFont="1" applyBorder="1" applyAlignment="1">
      <alignment horizontal="right" vertical="center"/>
    </xf>
    <xf numFmtId="0" fontId="0" fillId="0" borderId="8" xfId="0" applyBorder="1"/>
    <xf numFmtId="0" fontId="6" fillId="2" borderId="9" xfId="0" applyFont="1" applyFill="1" applyBorder="1" applyAlignment="1">
      <alignment horizontal="center" vertical="center"/>
    </xf>
    <xf numFmtId="10" fontId="24" fillId="2" borderId="12" xfId="0" applyNumberFormat="1" applyFont="1" applyFill="1" applyBorder="1" applyAlignment="1">
      <alignment horizontal="right" vertical="center"/>
    </xf>
    <xf numFmtId="10" fontId="2" fillId="5" borderId="12" xfId="0" applyNumberFormat="1" applyFont="1" applyFill="1" applyBorder="1" applyAlignment="1">
      <alignment horizontal="right" vertical="center"/>
    </xf>
    <xf numFmtId="10" fontId="10" fillId="0" borderId="12" xfId="0" applyNumberFormat="1" applyFont="1" applyBorder="1" applyAlignment="1">
      <alignment horizontal="right" vertical="center" wrapText="1"/>
    </xf>
    <xf numFmtId="3" fontId="18" fillId="0" borderId="0" xfId="0" applyNumberFormat="1" applyFont="1"/>
    <xf numFmtId="3" fontId="10" fillId="5" borderId="12" xfId="0" applyNumberFormat="1" applyFont="1" applyFill="1" applyBorder="1"/>
    <xf numFmtId="3" fontId="18" fillId="0" borderId="12" xfId="0" applyNumberFormat="1" applyFont="1" applyBorder="1"/>
    <xf numFmtId="3" fontId="6" fillId="5" borderId="0" xfId="0" applyNumberFormat="1" applyFont="1" applyFill="1" applyAlignment="1">
      <alignment horizontal="center" vertical="center"/>
    </xf>
    <xf numFmtId="10" fontId="6" fillId="5" borderId="12" xfId="0" applyNumberFormat="1" applyFont="1" applyFill="1" applyBorder="1" applyAlignment="1">
      <alignment horizontal="center" vertical="center"/>
    </xf>
    <xf numFmtId="0" fontId="6" fillId="5" borderId="0" xfId="0" applyFont="1" applyFill="1" applyAlignment="1">
      <alignment horizontal="center" vertical="center"/>
    </xf>
    <xf numFmtId="3" fontId="6" fillId="5" borderId="12" xfId="0" applyNumberFormat="1" applyFont="1" applyFill="1" applyBorder="1"/>
    <xf numFmtId="10" fontId="10" fillId="5" borderId="12" xfId="0" applyNumberFormat="1" applyFont="1" applyFill="1" applyBorder="1" applyAlignment="1">
      <alignment horizontal="center" vertical="center"/>
    </xf>
    <xf numFmtId="3" fontId="6" fillId="5" borderId="12" xfId="0" applyNumberFormat="1" applyFont="1" applyFill="1" applyBorder="1" applyAlignment="1">
      <alignment horizontal="center"/>
    </xf>
    <xf numFmtId="10" fontId="6" fillId="5" borderId="14" xfId="0" applyNumberFormat="1" applyFont="1" applyFill="1" applyBorder="1" applyAlignment="1">
      <alignment horizontal="center" vertical="center"/>
    </xf>
    <xf numFmtId="3" fontId="6" fillId="2" borderId="14" xfId="0" applyNumberFormat="1" applyFont="1" applyFill="1" applyBorder="1" applyAlignment="1">
      <alignment horizontal="center" vertical="center"/>
    </xf>
    <xf numFmtId="3" fontId="10" fillId="5" borderId="27" xfId="0" applyNumberFormat="1" applyFont="1" applyFill="1" applyBorder="1"/>
    <xf numFmtId="10" fontId="10" fillId="5" borderId="27" xfId="0" applyNumberFormat="1" applyFont="1" applyFill="1" applyBorder="1" applyAlignment="1">
      <alignment horizontal="center"/>
    </xf>
    <xf numFmtId="0" fontId="6" fillId="0" borderId="0" xfId="0" applyFont="1" applyAlignment="1">
      <alignment wrapText="1"/>
    </xf>
    <xf numFmtId="0" fontId="6" fillId="0" borderId="12" xfId="0" applyFont="1" applyBorder="1" applyAlignment="1">
      <alignment wrapText="1"/>
    </xf>
    <xf numFmtId="0" fontId="6" fillId="0" borderId="14" xfId="0" applyFont="1" applyBorder="1" applyAlignment="1">
      <alignment wrapText="1"/>
    </xf>
    <xf numFmtId="0" fontId="10" fillId="5" borderId="27" xfId="0" applyFont="1" applyFill="1" applyBorder="1" applyAlignment="1">
      <alignment vertical="center"/>
    </xf>
    <xf numFmtId="0" fontId="6" fillId="5" borderId="27" xfId="0" applyFont="1" applyFill="1" applyBorder="1"/>
    <xf numFmtId="10" fontId="6" fillId="5" borderId="12" xfId="2" applyNumberFormat="1" applyFont="1" applyFill="1" applyBorder="1" applyAlignment="1">
      <alignment horizontal="right" vertical="center"/>
    </xf>
    <xf numFmtId="9" fontId="6" fillId="5" borderId="12" xfId="2" applyFont="1" applyFill="1" applyBorder="1" applyAlignment="1">
      <alignment horizontal="right" vertical="center"/>
    </xf>
    <xf numFmtId="3" fontId="6" fillId="2" borderId="12" xfId="0" applyNumberFormat="1" applyFont="1" applyFill="1" applyBorder="1" applyAlignment="1">
      <alignment horizontal="right" vertical="center"/>
    </xf>
    <xf numFmtId="0" fontId="10" fillId="5" borderId="20" xfId="0" applyFont="1" applyFill="1" applyBorder="1"/>
    <xf numFmtId="0" fontId="10" fillId="5" borderId="0" xfId="0" applyFont="1" applyFill="1" applyAlignment="1">
      <alignment vertical="center" wrapText="1"/>
    </xf>
    <xf numFmtId="3" fontId="3" fillId="2" borderId="0" xfId="0" applyNumberFormat="1" applyFont="1" applyFill="1" applyAlignment="1">
      <alignment horizontal="right" vertical="center" wrapText="1"/>
    </xf>
    <xf numFmtId="1" fontId="3" fillId="2" borderId="0" xfId="0" applyNumberFormat="1" applyFont="1" applyFill="1" applyAlignment="1">
      <alignment horizontal="right" vertical="center" wrapText="1"/>
    </xf>
    <xf numFmtId="3" fontId="6" fillId="2" borderId="0" xfId="0" applyNumberFormat="1" applyFont="1" applyFill="1" applyAlignment="1">
      <alignment horizontal="right" vertical="center" wrapText="1"/>
    </xf>
    <xf numFmtId="0" fontId="6" fillId="2" borderId="0" xfId="0" applyFont="1" applyFill="1" applyAlignment="1">
      <alignment horizontal="right" vertical="center" wrapText="1"/>
    </xf>
    <xf numFmtId="4" fontId="6" fillId="2" borderId="0" xfId="0" applyNumberFormat="1" applyFont="1" applyFill="1" applyAlignment="1">
      <alignment horizontal="right" vertical="center" wrapText="1"/>
    </xf>
    <xf numFmtId="10" fontId="6" fillId="2" borderId="0" xfId="0" applyNumberFormat="1" applyFont="1" applyFill="1" applyAlignment="1">
      <alignment horizontal="right" vertical="center"/>
    </xf>
    <xf numFmtId="3" fontId="6" fillId="2" borderId="14" xfId="0" applyNumberFormat="1" applyFont="1" applyFill="1" applyBorder="1" applyAlignment="1">
      <alignment horizontal="right" vertical="center"/>
    </xf>
    <xf numFmtId="3" fontId="21" fillId="5" borderId="32" xfId="0" applyNumberFormat="1" applyFont="1" applyFill="1" applyBorder="1" applyAlignment="1">
      <alignment horizontal="right" vertical="center"/>
    </xf>
    <xf numFmtId="3" fontId="21" fillId="0" borderId="33" xfId="0" applyNumberFormat="1" applyFont="1" applyBorder="1" applyAlignment="1">
      <alignment horizontal="right" vertical="center"/>
    </xf>
    <xf numFmtId="3" fontId="21" fillId="0" borderId="32" xfId="0" applyNumberFormat="1" applyFont="1" applyBorder="1" applyAlignment="1">
      <alignment horizontal="right" vertical="center"/>
    </xf>
    <xf numFmtId="3" fontId="21" fillId="5" borderId="33" xfId="0" applyNumberFormat="1" applyFont="1" applyFill="1" applyBorder="1" applyAlignment="1">
      <alignment horizontal="right" vertical="center"/>
    </xf>
    <xf numFmtId="3" fontId="21" fillId="0" borderId="34" xfId="0" applyNumberFormat="1" applyFont="1" applyBorder="1" applyAlignment="1">
      <alignment horizontal="right" vertical="center"/>
    </xf>
    <xf numFmtId="3" fontId="21" fillId="0" borderId="35" xfId="0" applyNumberFormat="1" applyFont="1" applyBorder="1" applyAlignment="1">
      <alignment horizontal="right" vertical="center"/>
    </xf>
    <xf numFmtId="9" fontId="6" fillId="5" borderId="0" xfId="2" applyFont="1" applyFill="1"/>
    <xf numFmtId="2" fontId="6" fillId="5" borderId="12" xfId="0" applyNumberFormat="1" applyFont="1" applyFill="1" applyBorder="1" applyAlignment="1">
      <alignment horizontal="right" vertical="center" wrapText="1"/>
    </xf>
    <xf numFmtId="2" fontId="10" fillId="5" borderId="12" xfId="0" applyNumberFormat="1" applyFont="1" applyFill="1" applyBorder="1" applyAlignment="1">
      <alignment horizontal="right" vertical="center" wrapText="1"/>
    </xf>
    <xf numFmtId="0" fontId="10" fillId="5" borderId="12" xfId="0" applyFont="1" applyFill="1" applyBorder="1"/>
    <xf numFmtId="0" fontId="6" fillId="2" borderId="26" xfId="0" applyFont="1" applyFill="1" applyBorder="1" applyAlignment="1">
      <alignment horizontal="right" vertical="center" wrapText="1"/>
    </xf>
    <xf numFmtId="0" fontId="21" fillId="5" borderId="0" xfId="0" applyFont="1" applyFill="1"/>
    <xf numFmtId="0" fontId="6" fillId="5" borderId="20" xfId="0" applyFont="1" applyFill="1" applyBorder="1" applyAlignment="1">
      <alignment vertical="center" wrapText="1"/>
    </xf>
    <xf numFmtId="0" fontId="6" fillId="5" borderId="20" xfId="0" applyFont="1" applyFill="1" applyBorder="1"/>
    <xf numFmtId="10" fontId="6" fillId="0" borderId="3" xfId="0" applyNumberFormat="1" applyFont="1" applyBorder="1" applyAlignment="1">
      <alignment horizontal="right" vertical="center"/>
    </xf>
    <xf numFmtId="10" fontId="10" fillId="0" borderId="3" xfId="0" applyNumberFormat="1" applyFont="1" applyBorder="1" applyAlignment="1">
      <alignment horizontal="right" vertical="center"/>
    </xf>
    <xf numFmtId="0" fontId="12" fillId="5" borderId="0" xfId="0" applyFont="1" applyFill="1"/>
    <xf numFmtId="0" fontId="10" fillId="5" borderId="12" xfId="0" applyFont="1" applyFill="1" applyBorder="1" applyAlignment="1">
      <alignment horizontal="center" vertical="center" wrapText="1"/>
    </xf>
    <xf numFmtId="0" fontId="6" fillId="5" borderId="12" xfId="0" applyFont="1" applyFill="1" applyBorder="1" applyAlignment="1">
      <alignment horizontal="right" vertical="center"/>
    </xf>
    <xf numFmtId="0" fontId="6" fillId="0" borderId="12" xfId="0" applyFont="1" applyFill="1" applyBorder="1" applyAlignment="1">
      <alignment horizontal="right" vertical="center" wrapText="1"/>
    </xf>
    <xf numFmtId="0" fontId="6" fillId="5" borderId="0" xfId="0" applyFont="1" applyFill="1" applyAlignment="1"/>
    <xf numFmtId="1" fontId="6" fillId="0" borderId="3" xfId="0" applyNumberFormat="1" applyFont="1" applyBorder="1" applyAlignment="1">
      <alignment horizontal="right" vertical="center"/>
    </xf>
    <xf numFmtId="14" fontId="10" fillId="0" borderId="12" xfId="0" applyNumberFormat="1" applyFont="1" applyBorder="1"/>
    <xf numFmtId="0" fontId="6" fillId="0" borderId="12" xfId="0" applyFont="1" applyBorder="1"/>
    <xf numFmtId="0" fontId="0" fillId="2" borderId="12" xfId="0" applyFont="1" applyFill="1" applyBorder="1" applyAlignment="1">
      <alignment vertical="center" wrapText="1"/>
    </xf>
    <xf numFmtId="0" fontId="0" fillId="2" borderId="12" xfId="0" applyFont="1" applyFill="1" applyBorder="1" applyAlignment="1">
      <alignment horizontal="right" vertical="center" wrapText="1"/>
    </xf>
    <xf numFmtId="0" fontId="0" fillId="0" borderId="14" xfId="0" applyBorder="1" applyAlignment="1">
      <alignment horizontal="left" vertical="top"/>
    </xf>
    <xf numFmtId="0" fontId="0" fillId="0" borderId="15" xfId="0" applyBorder="1" applyAlignment="1">
      <alignment horizontal="left" vertical="top"/>
    </xf>
    <xf numFmtId="0" fontId="0" fillId="0" borderId="11" xfId="0" applyBorder="1" applyAlignment="1">
      <alignment horizontal="lef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wrapText="1"/>
    </xf>
    <xf numFmtId="0" fontId="0" fillId="5" borderId="14" xfId="0" applyFill="1" applyBorder="1" applyAlignment="1">
      <alignment horizontal="left" vertical="top"/>
    </xf>
    <xf numFmtId="0" fontId="0" fillId="5" borderId="15" xfId="0" applyFill="1" applyBorder="1" applyAlignment="1">
      <alignment horizontal="left" vertical="top"/>
    </xf>
    <xf numFmtId="0" fontId="0" fillId="5" borderId="11" xfId="0" applyFill="1" applyBorder="1" applyAlignment="1">
      <alignment horizontal="left" vertical="top"/>
    </xf>
    <xf numFmtId="0" fontId="10" fillId="5" borderId="1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2" xfId="0" applyFont="1" applyFill="1" applyBorder="1" applyAlignment="1">
      <alignment horizontal="right" vertical="center" wrapText="1"/>
    </xf>
    <xf numFmtId="0" fontId="1" fillId="0" borderId="12" xfId="0" applyFont="1" applyBorder="1" applyAlignment="1">
      <alignment horizontal="center" vertical="center"/>
    </xf>
    <xf numFmtId="0" fontId="10" fillId="5" borderId="13"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2" xfId="0" applyFont="1" applyFill="1" applyBorder="1" applyAlignment="1">
      <alignment horizontal="right" vertical="center"/>
    </xf>
    <xf numFmtId="0" fontId="10" fillId="5"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2" fillId="5" borderId="13" xfId="0" applyFont="1" applyFill="1" applyBorder="1" applyAlignment="1">
      <alignment horizontal="center" vertical="center"/>
    </xf>
    <xf numFmtId="0" fontId="12" fillId="5" borderId="16"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9" xfId="0" applyFont="1" applyFill="1" applyBorder="1" applyAlignment="1">
      <alignment horizontal="center" vertical="center"/>
    </xf>
    <xf numFmtId="0" fontId="2" fillId="2" borderId="12" xfId="0" applyFont="1" applyFill="1" applyBorder="1" applyAlignment="1">
      <alignment horizontal="center" vertical="center"/>
    </xf>
    <xf numFmtId="0" fontId="10" fillId="5" borderId="14"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9" xfId="0" applyFont="1" applyFill="1" applyBorder="1" applyAlignment="1">
      <alignment horizontal="center" vertical="center"/>
    </xf>
    <xf numFmtId="0" fontId="10" fillId="5" borderId="17" xfId="0" applyFont="1" applyFill="1" applyBorder="1" applyAlignment="1">
      <alignment horizontal="center" vertical="center"/>
    </xf>
    <xf numFmtId="0" fontId="12" fillId="5" borderId="13" xfId="0" applyFont="1" applyFill="1" applyBorder="1" applyAlignment="1">
      <alignment horizontal="left"/>
    </xf>
    <xf numFmtId="0" fontId="12" fillId="5" borderId="10" xfId="0" applyFont="1" applyFill="1" applyBorder="1" applyAlignment="1">
      <alignment horizontal="left"/>
    </xf>
    <xf numFmtId="0" fontId="12" fillId="5" borderId="9" xfId="0" applyFont="1" applyFill="1" applyBorder="1" applyAlignment="1">
      <alignment horizontal="left"/>
    </xf>
    <xf numFmtId="0" fontId="6" fillId="5" borderId="12" xfId="0" applyFont="1" applyFill="1" applyBorder="1" applyAlignment="1">
      <alignment vertical="center"/>
    </xf>
    <xf numFmtId="0" fontId="6" fillId="5" borderId="13" xfId="0" applyFont="1" applyFill="1" applyBorder="1" applyAlignment="1">
      <alignment horizontal="center"/>
    </xf>
    <xf numFmtId="0" fontId="6" fillId="5" borderId="10" xfId="0" applyFont="1" applyFill="1" applyBorder="1" applyAlignment="1">
      <alignment horizontal="center"/>
    </xf>
    <xf numFmtId="0" fontId="6" fillId="5" borderId="9" xfId="0" applyFont="1" applyFill="1" applyBorder="1" applyAlignment="1">
      <alignment horizont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10" fillId="5" borderId="13" xfId="0" applyFont="1" applyFill="1" applyBorder="1" applyAlignment="1">
      <alignment horizontal="left" vertical="center" wrapText="1"/>
    </xf>
    <xf numFmtId="0" fontId="10" fillId="0" borderId="12" xfId="0" applyFont="1" applyBorder="1" applyAlignment="1">
      <alignment horizontal="center"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6" fillId="5" borderId="13" xfId="0" applyFont="1" applyFill="1" applyBorder="1" applyAlignment="1">
      <alignment vertical="center"/>
    </xf>
    <xf numFmtId="3" fontId="6" fillId="5" borderId="9" xfId="0" applyNumberFormat="1" applyFont="1" applyFill="1" applyBorder="1" applyAlignment="1">
      <alignment horizontal="right" vertical="center"/>
    </xf>
    <xf numFmtId="0" fontId="6" fillId="5" borderId="12" xfId="0" applyFont="1" applyFill="1" applyBorder="1" applyAlignment="1">
      <alignment horizontal="right" vertical="center"/>
    </xf>
    <xf numFmtId="3" fontId="6" fillId="5" borderId="12" xfId="0" applyNumberFormat="1" applyFont="1" applyFill="1" applyBorder="1" applyAlignment="1">
      <alignment horizontal="right" vertical="center"/>
    </xf>
    <xf numFmtId="10" fontId="6" fillId="5" borderId="14" xfId="2" applyNumberFormat="1" applyFont="1" applyFill="1" applyBorder="1" applyAlignment="1">
      <alignment horizontal="right" vertical="center"/>
    </xf>
    <xf numFmtId="0" fontId="6" fillId="0" borderId="11" xfId="0" applyFont="1" applyBorder="1" applyAlignment="1">
      <alignment horizontal="right" vertical="center"/>
    </xf>
    <xf numFmtId="0" fontId="6" fillId="5" borderId="13"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9" xfId="0" applyFont="1" applyFill="1" applyBorder="1" applyAlignment="1">
      <alignment horizontal="center" vertical="center"/>
    </xf>
    <xf numFmtId="3" fontId="6" fillId="5" borderId="14" xfId="0" applyNumberFormat="1" applyFont="1" applyFill="1" applyBorder="1" applyAlignment="1">
      <alignment horizontal="right" vertical="center"/>
    </xf>
    <xf numFmtId="0" fontId="6" fillId="5" borderId="14" xfId="0" applyFont="1" applyFill="1" applyBorder="1" applyAlignment="1">
      <alignment horizontal="right" vertical="center"/>
    </xf>
    <xf numFmtId="0" fontId="10" fillId="2" borderId="1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9" xfId="0" applyFont="1" applyFill="1" applyBorder="1" applyAlignment="1">
      <alignment horizontal="center" vertical="center"/>
    </xf>
    <xf numFmtId="0" fontId="10" fillId="5" borderId="12" xfId="0" applyFont="1" applyFill="1" applyBorder="1" applyAlignment="1">
      <alignment vertical="center" wrapText="1"/>
    </xf>
    <xf numFmtId="0" fontId="10" fillId="5" borderId="14" xfId="0" applyFont="1" applyFill="1" applyBorder="1" applyAlignment="1">
      <alignment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0" fillId="4" borderId="6" xfId="0" applyFont="1" applyFill="1" applyBorder="1" applyAlignment="1">
      <alignment vertical="center"/>
    </xf>
    <xf numFmtId="0" fontId="20" fillId="4" borderId="5" xfId="0" applyFont="1" applyFill="1" applyBorder="1" applyAlignment="1">
      <alignment vertical="center"/>
    </xf>
    <xf numFmtId="0" fontId="20" fillId="3" borderId="28" xfId="0" applyFont="1" applyFill="1" applyBorder="1" applyAlignment="1">
      <alignment vertical="center"/>
    </xf>
    <xf numFmtId="0" fontId="20" fillId="3" borderId="8" xfId="0" applyFont="1" applyFill="1" applyBorder="1" applyAlignment="1">
      <alignment vertical="center"/>
    </xf>
    <xf numFmtId="0" fontId="20" fillId="3" borderId="6" xfId="0" applyFont="1" applyFill="1" applyBorder="1" applyAlignment="1">
      <alignment vertical="center"/>
    </xf>
    <xf numFmtId="0" fontId="20" fillId="3" borderId="21" xfId="0" applyFont="1" applyFill="1" applyBorder="1" applyAlignment="1">
      <alignment vertical="center"/>
    </xf>
    <xf numFmtId="0" fontId="20" fillId="0" borderId="6" xfId="0" applyFont="1" applyBorder="1" applyAlignment="1">
      <alignment vertical="center"/>
    </xf>
    <xf numFmtId="0" fontId="20" fillId="0" borderId="5" xfId="0" applyFont="1" applyBorder="1" applyAlignment="1">
      <alignment vertical="center"/>
    </xf>
    <xf numFmtId="0" fontId="9" fillId="3" borderId="6" xfId="0" applyFont="1" applyFill="1" applyBorder="1" applyAlignment="1">
      <alignment vertical="center"/>
    </xf>
    <xf numFmtId="0" fontId="9" fillId="3" borderId="5" xfId="0" applyFont="1" applyFill="1" applyBorder="1" applyAlignment="1">
      <alignment vertical="center"/>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9" fillId="2" borderId="5"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1" fillId="5" borderId="12" xfId="0" applyFont="1" applyFill="1" applyBorder="1" applyAlignment="1">
      <alignment vertical="center" wrapText="1"/>
    </xf>
    <xf numFmtId="0" fontId="6" fillId="5"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1" xfId="0" applyFont="1" applyFill="1" applyBorder="1" applyAlignment="1">
      <alignment horizontal="center" vertical="center"/>
    </xf>
    <xf numFmtId="0" fontId="1" fillId="5" borderId="12" xfId="0" applyFont="1" applyFill="1" applyBorder="1" applyAlignment="1">
      <alignment horizontal="center" vertical="center" wrapText="1"/>
    </xf>
    <xf numFmtId="0" fontId="8" fillId="5" borderId="12" xfId="0" applyFont="1" applyFill="1" applyBorder="1" applyAlignment="1">
      <alignment vertical="center"/>
    </xf>
    <xf numFmtId="0" fontId="8" fillId="5" borderId="12" xfId="0" applyFont="1" applyFill="1" applyBorder="1" applyAlignment="1">
      <alignment vertical="center" wrapText="1"/>
    </xf>
    <xf numFmtId="0" fontId="5" fillId="5" borderId="12" xfId="0" applyFont="1" applyFill="1" applyBorder="1" applyAlignment="1">
      <alignment horizontal="justify" vertical="center"/>
    </xf>
    <xf numFmtId="0" fontId="0" fillId="5" borderId="12" xfId="0" applyFill="1" applyBorder="1" applyAlignment="1">
      <alignment vertical="center" wrapText="1"/>
    </xf>
    <xf numFmtId="0" fontId="1" fillId="5" borderId="13"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2" xfId="0" applyFont="1" applyFill="1" applyBorder="1" applyAlignment="1">
      <alignment horizontal="center" vertical="center"/>
    </xf>
    <xf numFmtId="0" fontId="0" fillId="5" borderId="12" xfId="0" applyFill="1" applyBorder="1" applyAlignment="1">
      <alignment vertical="center"/>
    </xf>
    <xf numFmtId="0" fontId="1" fillId="5" borderId="13" xfId="0" applyFont="1" applyFill="1" applyBorder="1" applyAlignment="1">
      <alignment horizontal="left" vertical="center"/>
    </xf>
    <xf numFmtId="0" fontId="1" fillId="5" borderId="10" xfId="0" applyFont="1" applyFill="1" applyBorder="1" applyAlignment="1">
      <alignment horizontal="left" vertical="center"/>
    </xf>
    <xf numFmtId="0" fontId="1" fillId="5" borderId="9" xfId="0" applyFont="1" applyFill="1" applyBorder="1" applyAlignment="1">
      <alignment horizontal="left"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11" xfId="0" applyFill="1" applyBorder="1" applyAlignment="1">
      <alignment horizontal="center" vertical="center"/>
    </xf>
    <xf numFmtId="0" fontId="0" fillId="0" borderId="12" xfId="0" applyBorder="1" applyAlignment="1">
      <alignment horizontal="center" vertical="center" wrapText="1"/>
    </xf>
    <xf numFmtId="0" fontId="1" fillId="5" borderId="27"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31" xfId="0" applyFont="1" applyBorder="1" applyAlignment="1">
      <alignment horizontal="center" vertical="center" wrapText="1"/>
    </xf>
    <xf numFmtId="0" fontId="0" fillId="0" borderId="4" xfId="0" applyBorder="1" applyAlignment="1">
      <alignment vertical="center"/>
    </xf>
    <xf numFmtId="0" fontId="0" fillId="0" borderId="2" xfId="0" applyBorder="1" applyAlignment="1">
      <alignment vertical="center"/>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0" fillId="0" borderId="6"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6" fillId="2" borderId="12" xfId="0" applyFont="1" applyFill="1" applyBorder="1" applyAlignment="1">
      <alignment vertical="top"/>
    </xf>
    <xf numFmtId="0" fontId="23" fillId="2" borderId="12" xfId="0" applyFont="1" applyFill="1" applyBorder="1" applyAlignment="1">
      <alignment horizontal="center" vertical="center"/>
    </xf>
    <xf numFmtId="0" fontId="23" fillId="2" borderId="12" xfId="0" applyFont="1" applyFill="1" applyBorder="1" applyAlignment="1">
      <alignment horizontal="center" vertical="center" wrapText="1"/>
    </xf>
    <xf numFmtId="0" fontId="23" fillId="2" borderId="12" xfId="0" applyFont="1" applyFill="1" applyBorder="1" applyAlignment="1">
      <alignment vertical="center" wrapText="1"/>
    </xf>
    <xf numFmtId="0" fontId="24" fillId="2" borderId="13"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9" xfId="0" applyFont="1" applyFill="1" applyBorder="1" applyAlignment="1">
      <alignment horizontal="center" vertical="center"/>
    </xf>
    <xf numFmtId="0" fontId="1" fillId="2" borderId="0" xfId="0" applyFont="1" applyFill="1" applyAlignment="1">
      <alignment horizontal="justify" vertical="center"/>
    </xf>
  </cellXfs>
  <cellStyles count="4">
    <cellStyle name="Hyperlink" xfId="1" builtinId="8"/>
    <cellStyle name="Komma" xfId="3" builtinId="3"/>
    <cellStyle name="Procent" xfId="2" builtinId="5"/>
    <cellStyle name="Standaard" xfId="0" builtinId="0"/>
  </cellStyles>
  <dxfs count="3">
    <dxf>
      <font>
        <color rgb="FF00B050"/>
      </font>
    </dxf>
    <dxf>
      <font>
        <color rgb="FFFF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1CA56-B9BE-4C66-B5F7-75E0EA27DD02}">
  <sheetPr codeName="Blad1"/>
  <dimension ref="A1:E25"/>
  <sheetViews>
    <sheetView workbookViewId="0">
      <selection activeCell="A2" sqref="A2"/>
    </sheetView>
  </sheetViews>
  <sheetFormatPr defaultRowHeight="14.4" x14ac:dyDescent="0.3"/>
  <cols>
    <col min="2" max="2" width="55.6640625" bestFit="1" customWidth="1"/>
  </cols>
  <sheetData>
    <row r="1" spans="1:5" ht="15.6" x14ac:dyDescent="0.3">
      <c r="A1" s="373" t="s">
        <v>0</v>
      </c>
    </row>
    <row r="2" spans="1:5" x14ac:dyDescent="0.3">
      <c r="A2" s="374" t="s">
        <v>1</v>
      </c>
      <c r="B2" t="s">
        <v>2</v>
      </c>
      <c r="D2" s="374" t="s">
        <v>3</v>
      </c>
      <c r="E2" t="s">
        <v>4</v>
      </c>
    </row>
    <row r="3" spans="1:5" x14ac:dyDescent="0.3">
      <c r="A3" s="374" t="s">
        <v>5</v>
      </c>
      <c r="B3" t="s">
        <v>6</v>
      </c>
      <c r="D3" s="374" t="s">
        <v>7</v>
      </c>
      <c r="E3" t="s">
        <v>8</v>
      </c>
    </row>
    <row r="4" spans="1:5" x14ac:dyDescent="0.3">
      <c r="A4" s="374" t="s">
        <v>9</v>
      </c>
      <c r="B4" t="s">
        <v>10</v>
      </c>
      <c r="D4" s="374" t="s">
        <v>11</v>
      </c>
      <c r="E4" t="s">
        <v>12</v>
      </c>
    </row>
    <row r="5" spans="1:5" x14ac:dyDescent="0.3">
      <c r="A5" s="374" t="s">
        <v>13</v>
      </c>
      <c r="B5" t="s">
        <v>14</v>
      </c>
      <c r="D5" s="374" t="s">
        <v>15</v>
      </c>
      <c r="E5" t="s">
        <v>16</v>
      </c>
    </row>
    <row r="6" spans="1:5" x14ac:dyDescent="0.3">
      <c r="A6" s="374" t="s">
        <v>17</v>
      </c>
      <c r="B6" t="s">
        <v>18</v>
      </c>
      <c r="D6" s="374" t="s">
        <v>19</v>
      </c>
      <c r="E6" t="s">
        <v>20</v>
      </c>
    </row>
    <row r="7" spans="1:5" x14ac:dyDescent="0.3">
      <c r="A7" s="374" t="s">
        <v>21</v>
      </c>
      <c r="B7" t="s">
        <v>22</v>
      </c>
      <c r="D7" s="374" t="s">
        <v>23</v>
      </c>
      <c r="E7" t="s">
        <v>24</v>
      </c>
    </row>
    <row r="8" spans="1:5" x14ac:dyDescent="0.3">
      <c r="A8" s="374" t="s">
        <v>25</v>
      </c>
      <c r="B8" t="s">
        <v>26</v>
      </c>
      <c r="D8" s="374" t="s">
        <v>27</v>
      </c>
      <c r="E8" t="s">
        <v>28</v>
      </c>
    </row>
    <row r="9" spans="1:5" x14ac:dyDescent="0.3">
      <c r="A9" s="374" t="s">
        <v>29</v>
      </c>
      <c r="B9" t="s">
        <v>30</v>
      </c>
      <c r="D9" s="374" t="s">
        <v>31</v>
      </c>
      <c r="E9" t="s">
        <v>32</v>
      </c>
    </row>
    <row r="10" spans="1:5" x14ac:dyDescent="0.3">
      <c r="A10" s="374" t="s">
        <v>33</v>
      </c>
      <c r="B10" t="s">
        <v>34</v>
      </c>
      <c r="D10" s="374" t="s">
        <v>35</v>
      </c>
      <c r="E10" t="s">
        <v>36</v>
      </c>
    </row>
    <row r="11" spans="1:5" x14ac:dyDescent="0.3">
      <c r="A11" s="374" t="s">
        <v>37</v>
      </c>
      <c r="B11" t="s">
        <v>38</v>
      </c>
      <c r="D11" s="374" t="s">
        <v>39</v>
      </c>
      <c r="E11" t="s">
        <v>40</v>
      </c>
    </row>
    <row r="12" spans="1:5" x14ac:dyDescent="0.3">
      <c r="A12" s="374" t="s">
        <v>41</v>
      </c>
      <c r="B12" t="s">
        <v>42</v>
      </c>
      <c r="D12" s="374" t="s">
        <v>43</v>
      </c>
      <c r="E12" t="s">
        <v>44</v>
      </c>
    </row>
    <row r="13" spans="1:5" x14ac:dyDescent="0.3">
      <c r="A13" s="374" t="s">
        <v>45</v>
      </c>
      <c r="B13" t="s">
        <v>46</v>
      </c>
      <c r="D13" s="374" t="s">
        <v>47</v>
      </c>
      <c r="E13" t="s">
        <v>48</v>
      </c>
    </row>
    <row r="14" spans="1:5" x14ac:dyDescent="0.3">
      <c r="A14" s="374" t="s">
        <v>49</v>
      </c>
      <c r="B14" t="s">
        <v>50</v>
      </c>
      <c r="D14" s="374" t="s">
        <v>51</v>
      </c>
      <c r="E14" t="s">
        <v>52</v>
      </c>
    </row>
    <row r="15" spans="1:5" x14ac:dyDescent="0.3">
      <c r="A15" s="374" t="s">
        <v>53</v>
      </c>
      <c r="B15" t="s">
        <v>54</v>
      </c>
      <c r="D15" s="374" t="s">
        <v>55</v>
      </c>
      <c r="E15" t="s">
        <v>56</v>
      </c>
    </row>
    <row r="16" spans="1:5" x14ac:dyDescent="0.3">
      <c r="A16" s="374" t="s">
        <v>57</v>
      </c>
      <c r="B16" t="s">
        <v>58</v>
      </c>
      <c r="D16" s="374" t="s">
        <v>59</v>
      </c>
      <c r="E16" t="s">
        <v>60</v>
      </c>
    </row>
    <row r="17" spans="1:5" x14ac:dyDescent="0.3">
      <c r="A17" s="374" t="s">
        <v>61</v>
      </c>
      <c r="B17" t="s">
        <v>62</v>
      </c>
      <c r="D17" s="374" t="s">
        <v>63</v>
      </c>
      <c r="E17" t="s">
        <v>67</v>
      </c>
    </row>
    <row r="18" spans="1:5" x14ac:dyDescent="0.3">
      <c r="A18" s="374" t="s">
        <v>64</v>
      </c>
      <c r="B18" t="s">
        <v>65</v>
      </c>
      <c r="D18" s="374" t="s">
        <v>66</v>
      </c>
      <c r="E18" t="s">
        <v>71</v>
      </c>
    </row>
    <row r="19" spans="1:5" x14ac:dyDescent="0.3">
      <c r="A19" s="374" t="s">
        <v>68</v>
      </c>
      <c r="B19" t="s">
        <v>69</v>
      </c>
      <c r="D19" s="374" t="s">
        <v>70</v>
      </c>
      <c r="E19" t="s">
        <v>75</v>
      </c>
    </row>
    <row r="20" spans="1:5" x14ac:dyDescent="0.3">
      <c r="A20" s="374" t="s">
        <v>72</v>
      </c>
      <c r="B20" t="s">
        <v>73</v>
      </c>
      <c r="D20" s="374" t="s">
        <v>74</v>
      </c>
      <c r="E20" t="s">
        <v>79</v>
      </c>
    </row>
    <row r="21" spans="1:5" x14ac:dyDescent="0.3">
      <c r="A21" s="374" t="s">
        <v>76</v>
      </c>
      <c r="B21" t="s">
        <v>77</v>
      </c>
      <c r="D21" s="374" t="s">
        <v>78</v>
      </c>
      <c r="E21" t="s">
        <v>83</v>
      </c>
    </row>
    <row r="22" spans="1:5" x14ac:dyDescent="0.3">
      <c r="A22" s="374" t="s">
        <v>80</v>
      </c>
      <c r="B22" t="s">
        <v>81</v>
      </c>
      <c r="D22" s="374" t="s">
        <v>82</v>
      </c>
      <c r="E22" t="s">
        <v>87</v>
      </c>
    </row>
    <row r="23" spans="1:5" x14ac:dyDescent="0.3">
      <c r="A23" s="374" t="s">
        <v>84</v>
      </c>
      <c r="B23" t="s">
        <v>85</v>
      </c>
      <c r="D23" s="374" t="s">
        <v>86</v>
      </c>
      <c r="E23" t="s">
        <v>91</v>
      </c>
    </row>
    <row r="24" spans="1:5" x14ac:dyDescent="0.3">
      <c r="A24" s="374" t="s">
        <v>88</v>
      </c>
      <c r="B24" t="s">
        <v>89</v>
      </c>
      <c r="D24" s="374" t="s">
        <v>90</v>
      </c>
      <c r="E24" t="s">
        <v>94</v>
      </c>
    </row>
    <row r="25" spans="1:5" x14ac:dyDescent="0.3">
      <c r="A25" s="374" t="s">
        <v>92</v>
      </c>
      <c r="B25" t="s">
        <v>93</v>
      </c>
      <c r="D25" s="374"/>
    </row>
  </sheetData>
  <phoneticPr fontId="26" type="noConversion"/>
  <hyperlinks>
    <hyperlink ref="A2" location="'3.1'!A1" display="Tabel 3.1" xr:uid="{E4B0918D-8619-4A47-ABF4-0F5DF859E18B}"/>
    <hyperlink ref="A3" location="'3.2'!A1" display="Tabel 3.2" xr:uid="{B3B4C480-6001-44EE-AD69-B442FFEFE352}"/>
    <hyperlink ref="A4" location="'3.3'!A1" display="Tabel 3.3" xr:uid="{1C722FA4-DF6C-4696-9915-005E97B4F678}"/>
    <hyperlink ref="A5" location="'3.4'!A1" display="Tabel 3.4" xr:uid="{3DB71381-F6D1-4FF8-84C9-76824E8F499C}"/>
    <hyperlink ref="A6" location="'3.5'!A1" display="Tabel 3.5" xr:uid="{EFBAB91D-F9E9-4ECB-A68F-FAEF3B825FB7}"/>
    <hyperlink ref="A7" location="'3.6'!A1" display="Tabel 3.6" xr:uid="{A83232F6-C5D7-44E9-A548-8785C73D8D5B}"/>
    <hyperlink ref="A8" location="'3.7'!A1" display="Tabel 3.7" xr:uid="{16DA42FF-328A-4F26-AB41-78580E15188C}"/>
    <hyperlink ref="A9" location="'3.8'!A1" display="Tabel 3.8" xr:uid="{D7960E3D-2AFF-4D14-BD32-D21BD2ED4BDC}"/>
    <hyperlink ref="A10" location="'3.9'!A1" display="Tabel 3.9" xr:uid="{21DC3319-BC7C-4628-9E21-E865E3B5F934}"/>
    <hyperlink ref="A11" location="'3.10'!A1" display="Tabel 3.10" xr:uid="{A30E6075-93CA-4B2B-83D7-F922489297E1}"/>
    <hyperlink ref="A12" location="'3.11'!A1" display="Tabel 3.11" xr:uid="{828A43C2-0966-4F12-8290-7DE54B8C5E02}"/>
    <hyperlink ref="A13" location="'3.12'!A1" display="Tabel 3.12" xr:uid="{58711530-70E1-41A3-9337-50BDA26044A0}"/>
    <hyperlink ref="A14" location="'3.13'!A1" display="Tabel 3.13" xr:uid="{EA0C5DC1-6A85-4B2C-A348-65AF5F88001C}"/>
    <hyperlink ref="A15" location="'3.14'!A1" display="Tabel 3.14" xr:uid="{1728BEA0-1E15-4C2E-AFF6-170DAFB1CCA6}"/>
    <hyperlink ref="A16" location="'3.15'!A1" display="Tabel 3.15" xr:uid="{6103644C-0A63-43C2-91EA-28AF3A75EDB4}"/>
    <hyperlink ref="A17" location="'3.16'!A1" display="Tabel 3.16" xr:uid="{D5999C89-14C9-4765-A12D-86EE691D90F3}"/>
    <hyperlink ref="A18" location="'3.17'!A1" display="Tabel 3.17" xr:uid="{C01CEFAA-82B8-401D-8CEE-D06D3CCF87AD}"/>
    <hyperlink ref="A19" location="'3.18'!A1" display="Tabel 3.18" xr:uid="{695F064E-FFA0-44A0-8FC0-26D2B55197DF}"/>
    <hyperlink ref="A20" location="'3.19'!A1" display="Tabel 3.19" xr:uid="{BFBDA493-29F1-4BF4-A4AA-757D9618AE91}"/>
    <hyperlink ref="A21" location="'3.20'!A1" display="Tabel 3.20" xr:uid="{20D2F0AD-FCDD-4066-8421-7492BD7946A0}"/>
    <hyperlink ref="A22" location="'3.21'!A1" display="Tabel 3.21" xr:uid="{D2A54ED4-AD64-4C08-874E-4783B16CB862}"/>
    <hyperlink ref="A23" location="'3.22'!A1" display="Tabel 3.22" xr:uid="{9BF6CEB6-EA8D-45CF-BF3A-767179EE55C5}"/>
    <hyperlink ref="A24" location="'3.23'!A1" display="Tabel 3.23" xr:uid="{8354DD53-D8C1-4FE6-9C04-A7E998D06CC8}"/>
    <hyperlink ref="A25" location="'3.24'!A1" display="Tabel 3.24" xr:uid="{6EC2DD3E-7A59-4999-B695-D56FC692E839}"/>
    <hyperlink ref="D2" location="'3.25'!A1" display="Tabel 3.25" xr:uid="{C6856768-BCBA-4058-A0A6-ABB9405C1214}"/>
    <hyperlink ref="D3" location="'3.26'!A1" display="Tabel 3.26" xr:uid="{04939FAF-EDF1-478D-AE0E-25147795C66A}"/>
    <hyperlink ref="D4" location="'3.27'!A1" display="Tabel 3.27" xr:uid="{701A7EF2-0137-4600-9E02-E8D9CCFE42A6}"/>
    <hyperlink ref="D5" location="'3.28'!A1" display="Tabel 3.28" xr:uid="{BBABB8E7-318C-469C-971D-340F2FFE58F6}"/>
    <hyperlink ref="D6" location="'3.29'!A1" display="Tabel 3.29" xr:uid="{EF47D22E-F8A1-48FA-B7C2-60D8568B6DBE}"/>
    <hyperlink ref="D7" location="'3.30'!A1" display="Tabel 3.30" xr:uid="{797951AA-7CE5-4475-B451-084EAD26212D}"/>
    <hyperlink ref="D8" location="'3.31'!A1" display="Tabel 3.31" xr:uid="{430266BC-E59E-45E6-9D74-E0AA429322F1}"/>
    <hyperlink ref="D9" location="'3.32'!A1" display="Tabel 3.32" xr:uid="{0AE7D8B6-406D-4300-B4C8-9428B16C8E01}"/>
    <hyperlink ref="D10" location="'3.33'!A1" display="Tabel 3.33" xr:uid="{009A2C33-06DE-4AAC-AB5B-34C770E04740}"/>
    <hyperlink ref="D11" location="'3.34'!A1" display="Tabel 3.34" xr:uid="{A8FACFDD-EDD8-4DED-A05A-BA928613B0FB}"/>
    <hyperlink ref="D12" location="'3.35'!A1" display="Tabel 3.35" xr:uid="{953FEAC7-F2AA-4BB3-9AAE-142722879722}"/>
    <hyperlink ref="D13" location="'3.36'!A1" display="Tabel 3.36" xr:uid="{83139F69-8136-4BB2-9E2E-3CA3A1BD49CC}"/>
    <hyperlink ref="D14" location="'3.37'!A1" display="Tabel 3.37" xr:uid="{570E4651-6DF5-460A-A1D3-E0C0837D0DA2}"/>
    <hyperlink ref="D15" location="'3.38'!A1" display="Tabel 3.38" xr:uid="{B68C4DB5-596B-4D03-A377-D93880C95D31}"/>
    <hyperlink ref="D16" location="'3.39'!A1" display="Tabel 3.39" xr:uid="{4A3E4219-0E51-4B83-A672-8CFB440D9652}"/>
    <hyperlink ref="D18" location="'3.41'!A1" display="Tabel 3.41" xr:uid="{240D1EBF-75F4-49E6-A9E6-969C4B20AE2B}"/>
    <hyperlink ref="D19" location="'3.42'!A1" display="Tabel 3.42" xr:uid="{A2F0200A-B2E9-4C4B-8FB7-C84AB176378E}"/>
    <hyperlink ref="D20" location="'3.43'!A1" display="Tabel 3.43" xr:uid="{6DC76387-3C2F-49ED-8611-2E4935CAD6F0}"/>
    <hyperlink ref="D21" location="'3.44'!A1" display="Tabel 3.44" xr:uid="{69B633B3-430A-4640-AA61-DD327184F121}"/>
    <hyperlink ref="D22" location="'3.45'!A1" display="Tabel 3.45" xr:uid="{A1B3EA2A-488B-4F53-B4CC-9A38DE5980E8}"/>
    <hyperlink ref="D23" location="'3.46'!A1" display="Tabel 3.46" xr:uid="{575D6BA1-8849-4C6C-B07B-F3DE04216597}"/>
    <hyperlink ref="D24" location="'3.47'!A1" display="Tabel 3.47" xr:uid="{AF65C68D-9004-484A-9525-3E356F0670B1}"/>
    <hyperlink ref="D17" location="'3.40'!A1" display="Tabel 3.40" xr:uid="{EE799B19-95A2-4ED4-BD40-DD297D9C684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F6F93-0CBF-470F-BA46-A67CF97D6EB5}">
  <sheetPr codeName="Blad10"/>
  <dimension ref="A1:P35"/>
  <sheetViews>
    <sheetView workbookViewId="0">
      <selection activeCell="A2" sqref="A2"/>
    </sheetView>
  </sheetViews>
  <sheetFormatPr defaultColWidth="9.109375" defaultRowHeight="14.4" x14ac:dyDescent="0.3"/>
  <cols>
    <col min="1" max="1" width="50.88671875" style="41" customWidth="1"/>
    <col min="2" max="2" width="9.88671875" style="41" bestFit="1" customWidth="1"/>
    <col min="3" max="3" width="5.5546875" style="41" bestFit="1" customWidth="1"/>
    <col min="4" max="4" width="11" style="7" bestFit="1" customWidth="1"/>
    <col min="5" max="5" width="5.5546875" style="7" customWidth="1"/>
    <col min="6" max="6" width="11" style="7" bestFit="1" customWidth="1"/>
    <col min="7" max="7" width="6" style="7" bestFit="1" customWidth="1"/>
    <col min="8" max="8" width="11" style="7" bestFit="1" customWidth="1"/>
    <col min="9" max="9" width="5.5546875" style="7" customWidth="1"/>
    <col min="10" max="10" width="13.5546875" style="7" customWidth="1"/>
    <col min="11" max="11" width="5.5546875" style="7" customWidth="1"/>
    <col min="12" max="12" width="13.6640625" style="7" customWidth="1"/>
    <col min="13" max="13" width="5.5546875" style="7" customWidth="1"/>
    <col min="14" max="14" width="11.109375" style="7" customWidth="1"/>
    <col min="15" max="15" width="28.33203125" style="7" customWidth="1"/>
    <col min="16" max="16" width="13.88671875" style="7" customWidth="1"/>
    <col min="17" max="16384" width="9.109375" style="7"/>
  </cols>
  <sheetData>
    <row r="1" spans="1:16" x14ac:dyDescent="0.3">
      <c r="A1" s="376" t="s">
        <v>95</v>
      </c>
    </row>
    <row r="2" spans="1:16" x14ac:dyDescent="0.3">
      <c r="A2" s="8" t="s">
        <v>244</v>
      </c>
      <c r="B2" s="8"/>
      <c r="C2" s="8"/>
    </row>
    <row r="3" spans="1:16" x14ac:dyDescent="0.3">
      <c r="A3" s="516" t="s">
        <v>245</v>
      </c>
      <c r="B3" s="486" t="s">
        <v>246</v>
      </c>
      <c r="C3" s="486"/>
      <c r="D3" s="517" t="s">
        <v>247</v>
      </c>
      <c r="E3" s="517"/>
      <c r="F3" s="517" t="s">
        <v>99</v>
      </c>
      <c r="G3" s="517"/>
      <c r="H3" s="517" t="s">
        <v>100</v>
      </c>
      <c r="I3" s="517"/>
      <c r="J3" s="519" t="s">
        <v>101</v>
      </c>
      <c r="K3" s="520"/>
      <c r="L3" s="519" t="s">
        <v>102</v>
      </c>
      <c r="M3" s="520"/>
      <c r="N3" s="518" t="s">
        <v>116</v>
      </c>
    </row>
    <row r="4" spans="1:16" ht="88.8" x14ac:dyDescent="0.3">
      <c r="A4" s="516"/>
      <c r="B4" s="231" t="s">
        <v>155</v>
      </c>
      <c r="C4" s="159" t="s">
        <v>188</v>
      </c>
      <c r="D4" s="238" t="s">
        <v>155</v>
      </c>
      <c r="E4" s="72" t="s">
        <v>188</v>
      </c>
      <c r="F4" s="238" t="s">
        <v>155</v>
      </c>
      <c r="G4" s="72" t="s">
        <v>188</v>
      </c>
      <c r="H4" s="238" t="s">
        <v>155</v>
      </c>
      <c r="I4" s="72" t="s">
        <v>188</v>
      </c>
      <c r="J4" s="238" t="s">
        <v>155</v>
      </c>
      <c r="K4" s="72" t="s">
        <v>188</v>
      </c>
      <c r="L4" s="238" t="s">
        <v>155</v>
      </c>
      <c r="M4" s="72" t="s">
        <v>188</v>
      </c>
      <c r="N4" s="518"/>
    </row>
    <row r="5" spans="1:16" x14ac:dyDescent="0.3">
      <c r="A5" s="150" t="s">
        <v>219</v>
      </c>
      <c r="B5" s="252" t="s">
        <v>185</v>
      </c>
      <c r="C5" s="252" t="s">
        <v>185</v>
      </c>
      <c r="D5" s="286">
        <v>2461821</v>
      </c>
      <c r="E5" s="289">
        <v>86</v>
      </c>
      <c r="F5" s="286">
        <v>2804637</v>
      </c>
      <c r="G5" s="289" t="s">
        <v>248</v>
      </c>
      <c r="H5" s="286">
        <v>3313950</v>
      </c>
      <c r="I5" s="289">
        <v>91</v>
      </c>
      <c r="J5" s="291">
        <v>4256608</v>
      </c>
      <c r="K5" s="291">
        <v>94</v>
      </c>
      <c r="L5" s="291">
        <v>4824433</v>
      </c>
      <c r="M5" s="291">
        <v>92</v>
      </c>
      <c r="N5" s="421">
        <f>(L5-J5)/J5</f>
        <v>0.13339847127102145</v>
      </c>
      <c r="O5" s="108"/>
      <c r="P5" s="120"/>
    </row>
    <row r="6" spans="1:16" x14ac:dyDescent="0.3">
      <c r="A6" s="150" t="s">
        <v>220</v>
      </c>
      <c r="B6" s="290">
        <v>6335000</v>
      </c>
      <c r="C6" s="290">
        <v>1070</v>
      </c>
      <c r="D6" s="286">
        <v>6335000</v>
      </c>
      <c r="E6" s="286">
        <v>1072</v>
      </c>
      <c r="F6" s="286">
        <v>6335000</v>
      </c>
      <c r="G6" s="286">
        <v>1074</v>
      </c>
      <c r="H6" s="286">
        <v>6335000</v>
      </c>
      <c r="I6" s="286">
        <v>1076</v>
      </c>
      <c r="J6" s="286">
        <v>6335000</v>
      </c>
      <c r="K6" s="286">
        <v>1081</v>
      </c>
      <c r="L6" s="286">
        <v>6335000</v>
      </c>
      <c r="M6" s="286">
        <f>135+954</f>
        <v>1089</v>
      </c>
      <c r="N6" s="421">
        <f t="shared" ref="N6:N8" si="0">(L6-J6)/J6</f>
        <v>0</v>
      </c>
      <c r="O6" s="108"/>
    </row>
    <row r="7" spans="1:16" x14ac:dyDescent="0.3">
      <c r="A7" s="150" t="s">
        <v>222</v>
      </c>
      <c r="B7" s="290">
        <v>350280</v>
      </c>
      <c r="C7" s="290">
        <v>1069</v>
      </c>
      <c r="D7" s="286">
        <v>350060</v>
      </c>
      <c r="E7" s="286">
        <v>1070</v>
      </c>
      <c r="F7" s="286">
        <v>352071</v>
      </c>
      <c r="G7" s="286">
        <v>1071</v>
      </c>
      <c r="H7" s="286">
        <v>334341</v>
      </c>
      <c r="I7" s="286">
        <v>1078</v>
      </c>
      <c r="J7" s="286">
        <v>340694.09</v>
      </c>
      <c r="K7" s="286">
        <v>1085</v>
      </c>
      <c r="L7" s="286">
        <v>334100</v>
      </c>
      <c r="M7" s="286">
        <v>1101</v>
      </c>
      <c r="N7" s="421">
        <f t="shared" si="0"/>
        <v>-1.9354870523289752E-2</v>
      </c>
      <c r="O7" s="108"/>
    </row>
    <row r="8" spans="1:16" x14ac:dyDescent="0.3">
      <c r="A8" s="150" t="s">
        <v>223</v>
      </c>
      <c r="B8" s="290">
        <v>142782</v>
      </c>
      <c r="C8" s="290">
        <v>272</v>
      </c>
      <c r="D8" s="286">
        <v>148717</v>
      </c>
      <c r="E8" s="289">
        <v>293</v>
      </c>
      <c r="F8" s="288">
        <v>189722</v>
      </c>
      <c r="G8" s="287">
        <v>284</v>
      </c>
      <c r="H8" s="288">
        <v>241136</v>
      </c>
      <c r="I8" s="287">
        <v>298</v>
      </c>
      <c r="J8" s="288">
        <v>160119</v>
      </c>
      <c r="K8" s="287">
        <v>207</v>
      </c>
      <c r="L8" s="288">
        <v>285819</v>
      </c>
      <c r="M8" s="287">
        <f>87+108</f>
        <v>195</v>
      </c>
      <c r="N8" s="421">
        <f t="shared" si="0"/>
        <v>0.78504112566278828</v>
      </c>
      <c r="O8" s="108"/>
    </row>
    <row r="9" spans="1:16" x14ac:dyDescent="0.3">
      <c r="A9" s="150" t="s">
        <v>249</v>
      </c>
      <c r="B9" s="290">
        <v>7184368</v>
      </c>
      <c r="C9" s="290">
        <v>6</v>
      </c>
      <c r="D9" s="286">
        <v>7322671</v>
      </c>
      <c r="E9" s="289">
        <v>6</v>
      </c>
      <c r="F9" s="286">
        <v>7356317</v>
      </c>
      <c r="G9" s="289">
        <v>6</v>
      </c>
      <c r="H9" s="289" t="s">
        <v>181</v>
      </c>
      <c r="I9" s="289" t="s">
        <v>181</v>
      </c>
      <c r="J9" s="289" t="s">
        <v>181</v>
      </c>
      <c r="K9" s="289" t="s">
        <v>181</v>
      </c>
      <c r="L9" s="289" t="s">
        <v>181</v>
      </c>
      <c r="M9" s="289" t="s">
        <v>181</v>
      </c>
      <c r="N9" s="421" t="s">
        <v>181</v>
      </c>
      <c r="O9" s="108"/>
    </row>
    <row r="10" spans="1:16" x14ac:dyDescent="0.3">
      <c r="A10" s="150" t="s">
        <v>250</v>
      </c>
      <c r="B10" s="289" t="s">
        <v>181</v>
      </c>
      <c r="C10" s="289" t="s">
        <v>181</v>
      </c>
      <c r="D10" s="286">
        <v>5000000</v>
      </c>
      <c r="E10" s="289">
        <v>368</v>
      </c>
      <c r="F10" s="286">
        <v>5000000</v>
      </c>
      <c r="G10" s="289">
        <v>373</v>
      </c>
      <c r="H10" s="286">
        <v>10000000</v>
      </c>
      <c r="I10" s="289">
        <v>461</v>
      </c>
      <c r="J10" s="289" t="s">
        <v>181</v>
      </c>
      <c r="K10" s="289" t="s">
        <v>181</v>
      </c>
      <c r="L10" s="289" t="s">
        <v>181</v>
      </c>
      <c r="M10" s="289" t="s">
        <v>181</v>
      </c>
      <c r="N10" s="421" t="s">
        <v>181</v>
      </c>
      <c r="O10" s="108"/>
    </row>
    <row r="11" spans="1:16" x14ac:dyDescent="0.3">
      <c r="A11" s="150" t="s">
        <v>251</v>
      </c>
      <c r="B11" s="289" t="s">
        <v>181</v>
      </c>
      <c r="C11" s="289" t="s">
        <v>181</v>
      </c>
      <c r="D11" s="289" t="s">
        <v>181</v>
      </c>
      <c r="E11" s="289" t="s">
        <v>181</v>
      </c>
      <c r="F11" s="289" t="s">
        <v>181</v>
      </c>
      <c r="G11" s="252" t="s">
        <v>185</v>
      </c>
      <c r="H11" s="286">
        <v>2228717</v>
      </c>
      <c r="I11" s="286">
        <v>5</v>
      </c>
      <c r="J11" s="286">
        <v>2301056</v>
      </c>
      <c r="K11" s="285">
        <v>5</v>
      </c>
      <c r="L11" s="420">
        <v>3453656</v>
      </c>
      <c r="M11" s="422">
        <v>5</v>
      </c>
      <c r="N11" s="421">
        <f>(L11-J11)/J11</f>
        <v>0.50090045613839906</v>
      </c>
      <c r="O11" s="108"/>
    </row>
    <row r="12" spans="1:16" x14ac:dyDescent="0.3">
      <c r="A12" s="150" t="s">
        <v>252</v>
      </c>
      <c r="B12" s="289" t="s">
        <v>181</v>
      </c>
      <c r="C12" s="289" t="s">
        <v>181</v>
      </c>
      <c r="D12" s="286">
        <v>800000</v>
      </c>
      <c r="E12" s="289">
        <v>54</v>
      </c>
      <c r="F12" s="286">
        <v>560000</v>
      </c>
      <c r="G12" s="289">
        <v>45</v>
      </c>
      <c r="H12" s="289" t="s">
        <v>181</v>
      </c>
      <c r="I12" s="289" t="s">
        <v>181</v>
      </c>
      <c r="J12" s="289" t="s">
        <v>181</v>
      </c>
      <c r="K12" s="289" t="s">
        <v>181</v>
      </c>
      <c r="L12" s="289" t="s">
        <v>181</v>
      </c>
      <c r="M12" s="289" t="s">
        <v>181</v>
      </c>
      <c r="N12" s="421" t="s">
        <v>181</v>
      </c>
      <c r="O12" s="108"/>
    </row>
    <row r="13" spans="1:16" x14ac:dyDescent="0.3">
      <c r="A13" s="297" t="s">
        <v>253</v>
      </c>
      <c r="B13" s="289" t="s">
        <v>181</v>
      </c>
      <c r="C13" s="289" t="s">
        <v>181</v>
      </c>
      <c r="D13" s="289" t="s">
        <v>181</v>
      </c>
      <c r="E13" s="289" t="s">
        <v>181</v>
      </c>
      <c r="F13" s="289" t="s">
        <v>181</v>
      </c>
      <c r="G13" s="289" t="s">
        <v>181</v>
      </c>
      <c r="H13" s="289" t="s">
        <v>181</v>
      </c>
      <c r="I13" s="289" t="s">
        <v>181</v>
      </c>
      <c r="J13" s="298">
        <v>139448346</v>
      </c>
      <c r="K13" s="298">
        <v>1054</v>
      </c>
      <c r="L13" s="423">
        <f>108288553+3226769+11302</f>
        <v>111526624</v>
      </c>
      <c r="M13" s="423">
        <f>956+100</f>
        <v>1056</v>
      </c>
      <c r="N13" s="421">
        <f>(L13-J13)/J13</f>
        <v>-0.2002298542859734</v>
      </c>
      <c r="O13" s="108"/>
    </row>
    <row r="14" spans="1:16" x14ac:dyDescent="0.3">
      <c r="A14" s="299" t="s">
        <v>254</v>
      </c>
      <c r="B14" s="289" t="s">
        <v>181</v>
      </c>
      <c r="C14" s="289" t="s">
        <v>181</v>
      </c>
      <c r="D14" s="289" t="s">
        <v>181</v>
      </c>
      <c r="E14" s="289" t="s">
        <v>181</v>
      </c>
      <c r="F14" s="289" t="s">
        <v>181</v>
      </c>
      <c r="G14" s="289" t="s">
        <v>181</v>
      </c>
      <c r="H14" s="289" t="s">
        <v>181</v>
      </c>
      <c r="I14" s="289" t="s">
        <v>181</v>
      </c>
      <c r="J14" s="298">
        <v>10228008</v>
      </c>
      <c r="K14" s="299">
        <v>138</v>
      </c>
      <c r="L14" s="289" t="s">
        <v>181</v>
      </c>
      <c r="M14" s="289" t="s">
        <v>181</v>
      </c>
      <c r="N14" s="421" t="s">
        <v>181</v>
      </c>
      <c r="O14" s="108"/>
    </row>
    <row r="15" spans="1:16" x14ac:dyDescent="0.3">
      <c r="A15" s="353" t="s">
        <v>227</v>
      </c>
      <c r="B15" s="354">
        <f>SUM(B5:B14)</f>
        <v>14012430</v>
      </c>
      <c r="C15" s="354">
        <f t="shared" ref="C15:E15" si="1">SUM(C5:C14)</f>
        <v>2417</v>
      </c>
      <c r="D15" s="357">
        <f>SUM(D5:D14)</f>
        <v>22418269</v>
      </c>
      <c r="E15" s="354">
        <f t="shared" si="1"/>
        <v>2949</v>
      </c>
      <c r="F15" s="357">
        <f t="shared" ref="F15:K15" si="2">SUM(F5:F14)</f>
        <v>22597747</v>
      </c>
      <c r="G15" s="354">
        <f t="shared" si="2"/>
        <v>2853</v>
      </c>
      <c r="H15" s="357">
        <f t="shared" si="2"/>
        <v>22453144</v>
      </c>
      <c r="I15" s="354">
        <f t="shared" si="2"/>
        <v>3009</v>
      </c>
      <c r="J15" s="357">
        <f t="shared" si="2"/>
        <v>163069831.09</v>
      </c>
      <c r="K15" s="357">
        <f t="shared" si="2"/>
        <v>3664</v>
      </c>
      <c r="L15" s="357">
        <f>L5+L6+L7+L8+L11+L13</f>
        <v>126759632</v>
      </c>
      <c r="M15" s="357">
        <f>M5+M6+M7+M8+M11+M13</f>
        <v>3538</v>
      </c>
      <c r="N15" s="424">
        <f>(L15-J15)/J15</f>
        <v>-0.22266656466921839</v>
      </c>
      <c r="O15" s="108"/>
    </row>
    <row r="16" spans="1:16" ht="30" customHeight="1" x14ac:dyDescent="0.3">
      <c r="A16" s="150" t="s">
        <v>228</v>
      </c>
      <c r="B16" s="289" t="s">
        <v>181</v>
      </c>
      <c r="C16" s="289" t="s">
        <v>181</v>
      </c>
      <c r="D16" s="289" t="s">
        <v>181</v>
      </c>
      <c r="E16" s="289" t="s">
        <v>181</v>
      </c>
      <c r="F16" s="289" t="s">
        <v>181</v>
      </c>
      <c r="G16" s="289" t="s">
        <v>181</v>
      </c>
      <c r="H16" s="286">
        <v>1524365</v>
      </c>
      <c r="I16" s="286">
        <v>1078</v>
      </c>
      <c r="J16" s="289" t="s">
        <v>181</v>
      </c>
      <c r="K16" s="289" t="s">
        <v>181</v>
      </c>
      <c r="L16" s="289" t="s">
        <v>181</v>
      </c>
      <c r="M16" s="289" t="s">
        <v>181</v>
      </c>
      <c r="N16" s="421" t="s">
        <v>181</v>
      </c>
      <c r="O16" s="108"/>
    </row>
    <row r="17" spans="1:15" ht="28.8" x14ac:dyDescent="0.3">
      <c r="A17" s="150" t="s">
        <v>229</v>
      </c>
      <c r="B17" s="289" t="s">
        <v>181</v>
      </c>
      <c r="C17" s="289" t="s">
        <v>181</v>
      </c>
      <c r="D17" s="289" t="s">
        <v>181</v>
      </c>
      <c r="E17" s="289" t="s">
        <v>181</v>
      </c>
      <c r="F17" s="289" t="s">
        <v>181</v>
      </c>
      <c r="G17" s="289" t="s">
        <v>181</v>
      </c>
      <c r="H17" s="286">
        <v>25338760</v>
      </c>
      <c r="I17" s="286">
        <v>1084</v>
      </c>
      <c r="J17" s="289" t="s">
        <v>181</v>
      </c>
      <c r="K17" s="289" t="s">
        <v>181</v>
      </c>
      <c r="L17" s="289" t="s">
        <v>181</v>
      </c>
      <c r="M17" s="289" t="s">
        <v>181</v>
      </c>
      <c r="N17" s="421" t="s">
        <v>181</v>
      </c>
      <c r="O17" s="108"/>
    </row>
    <row r="18" spans="1:15" ht="28.8" x14ac:dyDescent="0.3">
      <c r="A18" s="150" t="s">
        <v>230</v>
      </c>
      <c r="B18" s="289" t="s">
        <v>181</v>
      </c>
      <c r="C18" s="289" t="s">
        <v>181</v>
      </c>
      <c r="D18" s="289" t="s">
        <v>181</v>
      </c>
      <c r="E18" s="289" t="s">
        <v>181</v>
      </c>
      <c r="F18" s="289" t="s">
        <v>181</v>
      </c>
      <c r="G18" s="289" t="s">
        <v>181</v>
      </c>
      <c r="H18" s="286">
        <v>7880482</v>
      </c>
      <c r="I18" s="286">
        <v>1084</v>
      </c>
      <c r="J18" s="289" t="s">
        <v>181</v>
      </c>
      <c r="K18" s="289" t="s">
        <v>181</v>
      </c>
      <c r="L18" s="289" t="s">
        <v>181</v>
      </c>
      <c r="M18" s="289" t="s">
        <v>181</v>
      </c>
      <c r="N18" s="421" t="s">
        <v>181</v>
      </c>
      <c r="O18" s="108"/>
    </row>
    <row r="19" spans="1:15" ht="28.8" x14ac:dyDescent="0.3">
      <c r="A19" s="150" t="s">
        <v>231</v>
      </c>
      <c r="B19" s="289" t="s">
        <v>181</v>
      </c>
      <c r="C19" s="289" t="s">
        <v>181</v>
      </c>
      <c r="D19" s="289" t="s">
        <v>181</v>
      </c>
      <c r="E19" s="289" t="s">
        <v>181</v>
      </c>
      <c r="F19" s="289" t="s">
        <v>181</v>
      </c>
      <c r="G19" s="289" t="s">
        <v>181</v>
      </c>
      <c r="H19" s="286">
        <v>6068901</v>
      </c>
      <c r="I19" s="286">
        <v>1084</v>
      </c>
      <c r="J19" s="289" t="s">
        <v>181</v>
      </c>
      <c r="K19" s="289" t="s">
        <v>181</v>
      </c>
      <c r="L19" s="289" t="s">
        <v>181</v>
      </c>
      <c r="M19" s="289" t="s">
        <v>181</v>
      </c>
      <c r="N19" s="421" t="s">
        <v>181</v>
      </c>
      <c r="O19" s="108"/>
    </row>
    <row r="20" spans="1:15" x14ac:dyDescent="0.3">
      <c r="A20" s="297" t="s">
        <v>255</v>
      </c>
      <c r="B20" s="289" t="s">
        <v>181</v>
      </c>
      <c r="C20" s="289" t="s">
        <v>181</v>
      </c>
      <c r="D20" s="289" t="s">
        <v>181</v>
      </c>
      <c r="E20" s="289" t="s">
        <v>181</v>
      </c>
      <c r="F20" s="289" t="s">
        <v>181</v>
      </c>
      <c r="G20" s="289" t="s">
        <v>181</v>
      </c>
      <c r="H20" s="289" t="s">
        <v>181</v>
      </c>
      <c r="I20" s="289" t="s">
        <v>181</v>
      </c>
      <c r="J20" s="298">
        <v>6984107</v>
      </c>
      <c r="K20" s="298">
        <v>1091</v>
      </c>
      <c r="L20" s="289" t="s">
        <v>181</v>
      </c>
      <c r="M20" s="289" t="s">
        <v>181</v>
      </c>
      <c r="N20" s="421" t="s">
        <v>181</v>
      </c>
    </row>
    <row r="21" spans="1:15" x14ac:dyDescent="0.3">
      <c r="A21" s="297" t="s">
        <v>256</v>
      </c>
      <c r="B21" s="289" t="s">
        <v>181</v>
      </c>
      <c r="C21" s="289" t="s">
        <v>181</v>
      </c>
      <c r="D21" s="289" t="s">
        <v>181</v>
      </c>
      <c r="E21" s="289" t="s">
        <v>181</v>
      </c>
      <c r="F21" s="289" t="s">
        <v>181</v>
      </c>
      <c r="G21" s="289" t="s">
        <v>181</v>
      </c>
      <c r="H21" s="289" t="s">
        <v>181</v>
      </c>
      <c r="I21" s="289" t="s">
        <v>181</v>
      </c>
      <c r="J21" s="298">
        <v>475715</v>
      </c>
      <c r="K21" s="299">
        <v>96</v>
      </c>
      <c r="L21" s="425">
        <v>951762.55</v>
      </c>
      <c r="M21" s="86">
        <v>96</v>
      </c>
      <c r="N21" s="421">
        <f>(L21-J21)/J21</f>
        <v>1.0006990530044251</v>
      </c>
    </row>
    <row r="22" spans="1:15" x14ac:dyDescent="0.3">
      <c r="A22" s="297" t="s">
        <v>257</v>
      </c>
      <c r="B22" s="289" t="s">
        <v>181</v>
      </c>
      <c r="C22" s="289" t="s">
        <v>181</v>
      </c>
      <c r="D22" s="289" t="s">
        <v>181</v>
      </c>
      <c r="E22" s="289" t="s">
        <v>181</v>
      </c>
      <c r="F22" s="289" t="s">
        <v>181</v>
      </c>
      <c r="G22" s="289" t="s">
        <v>181</v>
      </c>
      <c r="H22" s="289" t="s">
        <v>181</v>
      </c>
      <c r="I22" s="289" t="s">
        <v>181</v>
      </c>
      <c r="J22" s="298">
        <f>5194128+1009</f>
        <v>5195137</v>
      </c>
      <c r="K22" s="299">
        <v>1101</v>
      </c>
      <c r="L22" s="289" t="s">
        <v>181</v>
      </c>
      <c r="M22" s="289" t="s">
        <v>181</v>
      </c>
      <c r="N22" s="421" t="s">
        <v>181</v>
      </c>
    </row>
    <row r="23" spans="1:15" x14ac:dyDescent="0.3">
      <c r="A23" s="355" t="s">
        <v>258</v>
      </c>
      <c r="B23" s="349" t="s">
        <v>181</v>
      </c>
      <c r="C23" s="349" t="s">
        <v>181</v>
      </c>
      <c r="D23" s="349" t="s">
        <v>181</v>
      </c>
      <c r="E23" s="349" t="s">
        <v>181</v>
      </c>
      <c r="F23" s="349" t="s">
        <v>181</v>
      </c>
      <c r="G23" s="349" t="s">
        <v>181</v>
      </c>
      <c r="H23" s="349" t="s">
        <v>181</v>
      </c>
      <c r="I23" s="349" t="s">
        <v>181</v>
      </c>
      <c r="J23" s="356">
        <f>39635047+15844.41</f>
        <v>39650891.409999996</v>
      </c>
      <c r="K23" s="356">
        <v>1089</v>
      </c>
      <c r="L23" s="349" t="s">
        <v>181</v>
      </c>
      <c r="M23" s="349" t="s">
        <v>181</v>
      </c>
      <c r="N23" s="426" t="s">
        <v>181</v>
      </c>
    </row>
    <row r="24" spans="1:15" x14ac:dyDescent="0.3">
      <c r="A24" s="394" t="s">
        <v>237</v>
      </c>
      <c r="B24" s="349"/>
      <c r="C24" s="349"/>
      <c r="D24" s="349"/>
      <c r="E24" s="349"/>
      <c r="F24" s="349"/>
      <c r="G24" s="349"/>
      <c r="H24" s="349"/>
      <c r="I24" s="349"/>
      <c r="J24" s="356"/>
      <c r="K24" s="356"/>
      <c r="L24" s="427">
        <v>7333770</v>
      </c>
      <c r="M24" s="349">
        <v>1089</v>
      </c>
      <c r="N24" s="426" t="s">
        <v>181</v>
      </c>
    </row>
    <row r="25" spans="1:15" ht="28.8" x14ac:dyDescent="0.3">
      <c r="A25" s="297" t="s">
        <v>238</v>
      </c>
      <c r="B25" s="349" t="s">
        <v>181</v>
      </c>
      <c r="C25" s="349" t="s">
        <v>181</v>
      </c>
      <c r="D25" s="349" t="s">
        <v>181</v>
      </c>
      <c r="E25" s="349" t="s">
        <v>181</v>
      </c>
      <c r="F25" s="349" t="s">
        <v>181</v>
      </c>
      <c r="G25" s="349" t="s">
        <v>181</v>
      </c>
      <c r="H25" s="349" t="s">
        <v>181</v>
      </c>
      <c r="I25" s="349" t="s">
        <v>181</v>
      </c>
      <c r="J25" s="349" t="s">
        <v>181</v>
      </c>
      <c r="K25" s="349" t="s">
        <v>181</v>
      </c>
      <c r="L25" s="427">
        <f>840322.35+3260.51</f>
        <v>843582.86</v>
      </c>
      <c r="M25" s="349">
        <f>163+5</f>
        <v>168</v>
      </c>
      <c r="N25" s="426" t="s">
        <v>181</v>
      </c>
    </row>
    <row r="26" spans="1:15" ht="28.8" x14ac:dyDescent="0.3">
      <c r="A26" s="297" t="s">
        <v>259</v>
      </c>
      <c r="B26" s="349" t="s">
        <v>181</v>
      </c>
      <c r="C26" s="349" t="s">
        <v>181</v>
      </c>
      <c r="D26" s="349" t="s">
        <v>181</v>
      </c>
      <c r="E26" s="349" t="s">
        <v>181</v>
      </c>
      <c r="F26" s="349" t="s">
        <v>181</v>
      </c>
      <c r="G26" s="349" t="s">
        <v>181</v>
      </c>
      <c r="H26" s="349" t="s">
        <v>181</v>
      </c>
      <c r="I26" s="349" t="s">
        <v>181</v>
      </c>
      <c r="J26" s="349" t="s">
        <v>181</v>
      </c>
      <c r="K26" s="349" t="s">
        <v>181</v>
      </c>
      <c r="L26" s="427">
        <v>3044151</v>
      </c>
      <c r="M26" s="349">
        <v>199</v>
      </c>
      <c r="N26" s="426" t="s">
        <v>181</v>
      </c>
    </row>
    <row r="27" spans="1:15" x14ac:dyDescent="0.3">
      <c r="A27" s="355" t="s">
        <v>260</v>
      </c>
      <c r="B27" s="349"/>
      <c r="C27" s="349"/>
      <c r="D27" s="349"/>
      <c r="E27" s="349"/>
      <c r="F27" s="349"/>
      <c r="G27" s="349"/>
      <c r="H27" s="349"/>
      <c r="I27" s="349"/>
      <c r="J27" s="356"/>
      <c r="K27" s="356"/>
      <c r="L27" s="427">
        <v>21003997</v>
      </c>
      <c r="M27" s="349">
        <f>969+140</f>
        <v>1109</v>
      </c>
      <c r="N27" s="426" t="s">
        <v>181</v>
      </c>
    </row>
    <row r="28" spans="1:15" x14ac:dyDescent="0.3">
      <c r="A28" s="297" t="s">
        <v>261</v>
      </c>
      <c r="B28" s="413"/>
      <c r="C28" s="289"/>
      <c r="D28" s="289"/>
      <c r="E28" s="289"/>
      <c r="F28" s="289"/>
      <c r="G28" s="289"/>
      <c r="H28" s="289"/>
      <c r="I28" s="289"/>
      <c r="J28" s="298"/>
      <c r="K28" s="298"/>
      <c r="L28" s="286">
        <f>43850.1+14557.04</f>
        <v>58407.14</v>
      </c>
      <c r="M28" s="289">
        <v>5</v>
      </c>
      <c r="N28" s="421"/>
    </row>
    <row r="29" spans="1:15" x14ac:dyDescent="0.3">
      <c r="A29" s="391" t="s">
        <v>227</v>
      </c>
      <c r="B29" s="392"/>
      <c r="C29" s="392"/>
      <c r="D29" s="392"/>
      <c r="E29" s="392"/>
      <c r="F29" s="392"/>
      <c r="G29" s="392"/>
      <c r="H29" s="393">
        <f>SUM(H16:H19)</f>
        <v>40812508</v>
      </c>
      <c r="I29" s="393">
        <f>SUM(I16:I19)</f>
        <v>4330</v>
      </c>
      <c r="J29" s="393">
        <f>SUM(J20:J23)</f>
        <v>52305850.409999996</v>
      </c>
      <c r="K29" s="393">
        <f>SUM(K20:K23)</f>
        <v>3377</v>
      </c>
      <c r="L29" s="428">
        <f>L21+L24+L25+L26+L27+L28</f>
        <v>33235670.550000001</v>
      </c>
      <c r="M29" s="428">
        <f>M21+M24+M25+M26+M27+M28</f>
        <v>2666</v>
      </c>
      <c r="N29" s="429">
        <f>(L29-J29)/J29</f>
        <v>-0.36458980612146014</v>
      </c>
    </row>
    <row r="30" spans="1:15" x14ac:dyDescent="0.3">
      <c r="A30" s="7"/>
      <c r="B30" s="7"/>
      <c r="C30" s="7"/>
    </row>
    <row r="31" spans="1:15" x14ac:dyDescent="0.3">
      <c r="A31" s="7"/>
      <c r="B31" s="7"/>
      <c r="C31" s="7"/>
      <c r="L31" s="120"/>
      <c r="M31" s="120"/>
    </row>
    <row r="33" spans="1:3" x14ac:dyDescent="0.3">
      <c r="A33" s="99" t="s">
        <v>262</v>
      </c>
      <c r="B33" s="99"/>
      <c r="C33" s="99"/>
    </row>
    <row r="34" spans="1:3" x14ac:dyDescent="0.3">
      <c r="A34" s="88" t="s">
        <v>263</v>
      </c>
      <c r="B34" s="54"/>
      <c r="C34" s="54"/>
    </row>
    <row r="35" spans="1:3" x14ac:dyDescent="0.3">
      <c r="A35" s="88" t="s">
        <v>264</v>
      </c>
    </row>
  </sheetData>
  <mergeCells count="8">
    <mergeCell ref="A3:A4"/>
    <mergeCell ref="D3:E3"/>
    <mergeCell ref="F3:G3"/>
    <mergeCell ref="H3:I3"/>
    <mergeCell ref="N3:N4"/>
    <mergeCell ref="B3:C3"/>
    <mergeCell ref="J3:K3"/>
    <mergeCell ref="L3:M3"/>
  </mergeCells>
  <hyperlinks>
    <hyperlink ref="A1" location="Inhoud!A1" display="Terug naar inhoud" xr:uid="{F5C43ECF-6B82-4C97-9B80-6FB5F6CAB22A}"/>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35C7D-4303-48F8-AC84-9A27E99C3C8D}">
  <sheetPr codeName="Blad11"/>
  <dimension ref="A1:I8"/>
  <sheetViews>
    <sheetView workbookViewId="0">
      <selection activeCell="A2" sqref="A2"/>
    </sheetView>
  </sheetViews>
  <sheetFormatPr defaultColWidth="9.109375" defaultRowHeight="14.4" x14ac:dyDescent="0.3"/>
  <cols>
    <col min="1" max="1" width="6.44140625" style="34" bestFit="1" customWidth="1"/>
    <col min="2" max="7" width="14.6640625" style="34" customWidth="1"/>
    <col min="8" max="8" width="19.44140625" style="34" customWidth="1"/>
    <col min="9" max="9" width="21" style="34" customWidth="1"/>
    <col min="10" max="16384" width="9.109375" style="34"/>
  </cols>
  <sheetData>
    <row r="1" spans="1:9" x14ac:dyDescent="0.3">
      <c r="A1" s="375" t="s">
        <v>95</v>
      </c>
    </row>
    <row r="2" spans="1:9" x14ac:dyDescent="0.3">
      <c r="A2" s="60" t="s">
        <v>265</v>
      </c>
      <c r="B2" s="60"/>
    </row>
    <row r="3" spans="1:9" x14ac:dyDescent="0.3">
      <c r="A3" s="485"/>
      <c r="B3" s="234" t="s">
        <v>97</v>
      </c>
      <c r="C3" s="248" t="s">
        <v>98</v>
      </c>
      <c r="D3" s="233" t="s">
        <v>99</v>
      </c>
      <c r="E3" s="233" t="s">
        <v>266</v>
      </c>
      <c r="F3" s="233" t="s">
        <v>101</v>
      </c>
      <c r="G3" s="233" t="s">
        <v>102</v>
      </c>
      <c r="H3" s="490" t="s">
        <v>267</v>
      </c>
    </row>
    <row r="4" spans="1:9" x14ac:dyDescent="0.3">
      <c r="A4" s="485"/>
      <c r="B4" s="248" t="s">
        <v>155</v>
      </c>
      <c r="C4" s="248" t="s">
        <v>155</v>
      </c>
      <c r="D4" s="233" t="s">
        <v>155</v>
      </c>
      <c r="E4" s="233" t="s">
        <v>155</v>
      </c>
      <c r="F4" s="233" t="s">
        <v>155</v>
      </c>
      <c r="G4" s="233" t="s">
        <v>155</v>
      </c>
      <c r="H4" s="490"/>
    </row>
    <row r="5" spans="1:9" x14ac:dyDescent="0.3">
      <c r="A5" s="236" t="s">
        <v>170</v>
      </c>
      <c r="B5" s="12">
        <v>3184307</v>
      </c>
      <c r="C5" s="160">
        <v>3184307</v>
      </c>
      <c r="D5" s="65">
        <v>3287651</v>
      </c>
      <c r="E5" s="243">
        <v>3073467</v>
      </c>
      <c r="F5" s="243">
        <v>3069946</v>
      </c>
      <c r="G5" s="243">
        <v>3076374</v>
      </c>
      <c r="H5" s="244">
        <f>(G5-F5)/F5</f>
        <v>2.093847904816567E-3</v>
      </c>
      <c r="I5" s="109"/>
    </row>
    <row r="6" spans="1:9" x14ac:dyDescent="0.3">
      <c r="A6" s="236" t="s">
        <v>157</v>
      </c>
      <c r="B6" s="12">
        <v>10193906</v>
      </c>
      <c r="C6" s="160">
        <v>10193906</v>
      </c>
      <c r="D6" s="65">
        <v>10459134</v>
      </c>
      <c r="E6" s="243">
        <v>9840009</v>
      </c>
      <c r="F6" s="243">
        <v>9839820</v>
      </c>
      <c r="G6" s="243">
        <v>9869718</v>
      </c>
      <c r="H6" s="244">
        <f t="shared" ref="H6:H8" si="0">(G6-F6)/F6</f>
        <v>3.0384702159185839E-3</v>
      </c>
      <c r="I6" s="109"/>
    </row>
    <row r="7" spans="1:9" x14ac:dyDescent="0.3">
      <c r="A7" s="236" t="s">
        <v>158</v>
      </c>
      <c r="B7" s="12">
        <v>1237608</v>
      </c>
      <c r="C7" s="160">
        <v>1237608</v>
      </c>
      <c r="D7" s="65">
        <v>1321215</v>
      </c>
      <c r="E7" s="243">
        <v>1245524</v>
      </c>
      <c r="F7" s="243">
        <v>1249234</v>
      </c>
      <c r="G7" s="243">
        <v>1261908</v>
      </c>
      <c r="H7" s="244">
        <f t="shared" si="0"/>
        <v>1.0145417111605992E-2</v>
      </c>
      <c r="I7" s="109"/>
    </row>
    <row r="8" spans="1:9" x14ac:dyDescent="0.3">
      <c r="A8" s="128" t="s">
        <v>113</v>
      </c>
      <c r="B8" s="21">
        <v>14615821</v>
      </c>
      <c r="C8" s="161">
        <v>14615821</v>
      </c>
      <c r="D8" s="66">
        <v>15068000</v>
      </c>
      <c r="E8" s="89">
        <f>SUM(E5:E7)</f>
        <v>14159000</v>
      </c>
      <c r="F8" s="89">
        <f>SUM(F5:F7)</f>
        <v>14159000</v>
      </c>
      <c r="G8" s="89">
        <f>SUM(G5:G7)</f>
        <v>14208000</v>
      </c>
      <c r="H8" s="67">
        <f t="shared" si="0"/>
        <v>3.4606963768627728E-3</v>
      </c>
      <c r="I8" s="109"/>
    </row>
  </sheetData>
  <mergeCells count="2">
    <mergeCell ref="A3:A4"/>
    <mergeCell ref="H3:H4"/>
  </mergeCells>
  <hyperlinks>
    <hyperlink ref="A1" location="Inhoud!A1" display="Terug naar inhoud" xr:uid="{49DBBC24-0F99-499C-9FFA-DC86B4E4D417}"/>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4D1BD-343C-4E03-9FDB-66E2AFA13D93}">
  <sheetPr codeName="Blad12"/>
  <dimension ref="A1:I8"/>
  <sheetViews>
    <sheetView workbookViewId="0">
      <selection activeCell="E14" sqref="E14"/>
    </sheetView>
  </sheetViews>
  <sheetFormatPr defaultColWidth="9.109375" defaultRowHeight="14.4" x14ac:dyDescent="0.3"/>
  <cols>
    <col min="1" max="1" width="7.44140625" style="34" customWidth="1"/>
    <col min="2" max="7" width="14.5546875" style="34" customWidth="1"/>
    <col min="8" max="8" width="16.6640625" style="34" customWidth="1"/>
    <col min="9" max="9" width="12.5546875" style="34" customWidth="1"/>
    <col min="10" max="16384" width="9.109375" style="34"/>
  </cols>
  <sheetData>
    <row r="1" spans="1:9" x14ac:dyDescent="0.3">
      <c r="A1" s="375" t="s">
        <v>95</v>
      </c>
    </row>
    <row r="2" spans="1:9" x14ac:dyDescent="0.3">
      <c r="A2" s="60" t="s">
        <v>268</v>
      </c>
    </row>
    <row r="3" spans="1:9" x14ac:dyDescent="0.3">
      <c r="A3" s="485"/>
      <c r="B3" s="233" t="s">
        <v>97</v>
      </c>
      <c r="C3" s="233" t="s">
        <v>98</v>
      </c>
      <c r="D3" s="233" t="s">
        <v>99</v>
      </c>
      <c r="E3" s="233" t="s">
        <v>266</v>
      </c>
      <c r="F3" s="233" t="s">
        <v>101</v>
      </c>
      <c r="G3" s="233" t="s">
        <v>102</v>
      </c>
      <c r="H3" s="490" t="s">
        <v>267</v>
      </c>
    </row>
    <row r="4" spans="1:9" x14ac:dyDescent="0.3">
      <c r="A4" s="485"/>
      <c r="B4" s="233" t="s">
        <v>155</v>
      </c>
      <c r="C4" s="233" t="s">
        <v>155</v>
      </c>
      <c r="D4" s="233" t="s">
        <v>155</v>
      </c>
      <c r="E4" s="233" t="s">
        <v>155</v>
      </c>
      <c r="F4" s="233" t="s">
        <v>155</v>
      </c>
      <c r="G4" s="233" t="s">
        <v>155</v>
      </c>
      <c r="H4" s="490"/>
    </row>
    <row r="5" spans="1:9" x14ac:dyDescent="0.3">
      <c r="A5" s="236" t="s">
        <v>170</v>
      </c>
      <c r="B5" s="242" t="s">
        <v>185</v>
      </c>
      <c r="C5" s="242" t="s">
        <v>185</v>
      </c>
      <c r="D5" s="65">
        <v>7979</v>
      </c>
      <c r="E5" s="243">
        <v>1280</v>
      </c>
      <c r="F5" s="243">
        <v>1773</v>
      </c>
      <c r="G5" s="243">
        <v>2660</v>
      </c>
      <c r="H5" s="244">
        <f>(G5-F5)/F5</f>
        <v>0.50028200789622113</v>
      </c>
      <c r="I5" s="109"/>
    </row>
    <row r="6" spans="1:9" x14ac:dyDescent="0.3">
      <c r="A6" s="236" t="s">
        <v>157</v>
      </c>
      <c r="B6" s="242" t="s">
        <v>185</v>
      </c>
      <c r="C6" s="242" t="s">
        <v>185</v>
      </c>
      <c r="D6" s="65">
        <v>13101</v>
      </c>
      <c r="E6" s="243">
        <v>11525</v>
      </c>
      <c r="F6" s="243">
        <v>7190</v>
      </c>
      <c r="G6" s="243">
        <v>10638</v>
      </c>
      <c r="H6" s="244">
        <f t="shared" ref="H6:H8" si="0">(G6-F6)/F6</f>
        <v>0.4795549374130737</v>
      </c>
      <c r="I6" s="109"/>
    </row>
    <row r="7" spans="1:9" x14ac:dyDescent="0.3">
      <c r="A7" s="236" t="s">
        <v>158</v>
      </c>
      <c r="B7" s="242" t="s">
        <v>185</v>
      </c>
      <c r="C7" s="242" t="s">
        <v>185</v>
      </c>
      <c r="D7" s="65">
        <v>23345</v>
      </c>
      <c r="E7" s="243">
        <v>26595</v>
      </c>
      <c r="F7" s="243">
        <v>27285</v>
      </c>
      <c r="G7" s="243">
        <v>27777</v>
      </c>
      <c r="H7" s="244">
        <f t="shared" si="0"/>
        <v>1.8031885651456844E-2</v>
      </c>
      <c r="I7" s="109"/>
    </row>
    <row r="8" spans="1:9" x14ac:dyDescent="0.3">
      <c r="A8" s="128" t="s">
        <v>113</v>
      </c>
      <c r="B8" s="232" t="s">
        <v>185</v>
      </c>
      <c r="C8" s="232" t="s">
        <v>185</v>
      </c>
      <c r="D8" s="66">
        <v>44425</v>
      </c>
      <c r="E8" s="89">
        <v>39400</v>
      </c>
      <c r="F8" s="89">
        <f>SUM(F5:F7)</f>
        <v>36248</v>
      </c>
      <c r="G8" s="89">
        <f>SUM(G5:G7)</f>
        <v>41075</v>
      </c>
      <c r="H8" s="67">
        <f t="shared" si="0"/>
        <v>0.13316596777753256</v>
      </c>
      <c r="I8" s="109"/>
    </row>
  </sheetData>
  <mergeCells count="2">
    <mergeCell ref="A3:A4"/>
    <mergeCell ref="H3:H4"/>
  </mergeCells>
  <hyperlinks>
    <hyperlink ref="A1" location="Inhoud!A1" display="Terug naar inhoud" xr:uid="{48F01809-7224-4947-81CF-1E241135D1D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91884-1482-4F70-8320-C0EF2B826AAB}">
  <sheetPr codeName="Blad13"/>
  <dimension ref="A1:G8"/>
  <sheetViews>
    <sheetView workbookViewId="0">
      <selection activeCell="A2" sqref="A2"/>
    </sheetView>
  </sheetViews>
  <sheetFormatPr defaultColWidth="9.109375" defaultRowHeight="14.4" x14ac:dyDescent="0.3"/>
  <cols>
    <col min="1" max="1" width="10.109375" style="34" bestFit="1" customWidth="1"/>
    <col min="2" max="2" width="10.109375" style="34" customWidth="1"/>
    <col min="3" max="6" width="10.6640625" style="34" customWidth="1"/>
    <col min="7" max="7" width="10.109375" style="34" bestFit="1" customWidth="1"/>
    <col min="8" max="8" width="6.5546875" style="34" bestFit="1" customWidth="1"/>
    <col min="9" max="9" width="10.44140625" style="34" bestFit="1" customWidth="1"/>
    <col min="10" max="16384" width="9.109375" style="34"/>
  </cols>
  <sheetData>
    <row r="1" spans="1:7" x14ac:dyDescent="0.3">
      <c r="A1" s="375" t="s">
        <v>95</v>
      </c>
    </row>
    <row r="2" spans="1:7" x14ac:dyDescent="0.3">
      <c r="A2" s="74" t="s">
        <v>269</v>
      </c>
      <c r="B2" s="74"/>
    </row>
    <row r="3" spans="1:7" x14ac:dyDescent="0.3">
      <c r="A3" s="485"/>
      <c r="B3" s="234">
        <v>2017</v>
      </c>
      <c r="C3" s="248">
        <v>2018</v>
      </c>
      <c r="D3" s="233">
        <v>2019</v>
      </c>
      <c r="E3" s="233">
        <v>2020</v>
      </c>
      <c r="F3" s="233">
        <v>2021</v>
      </c>
      <c r="G3" s="233">
        <v>2022</v>
      </c>
    </row>
    <row r="4" spans="1:7" x14ac:dyDescent="0.3">
      <c r="A4" s="485"/>
      <c r="B4" s="248" t="s">
        <v>155</v>
      </c>
      <c r="C4" s="248" t="s">
        <v>155</v>
      </c>
      <c r="D4" s="233" t="s">
        <v>155</v>
      </c>
      <c r="E4" s="233" t="s">
        <v>155</v>
      </c>
      <c r="F4" s="233" t="s">
        <v>155</v>
      </c>
      <c r="G4" s="233" t="s">
        <v>155</v>
      </c>
    </row>
    <row r="5" spans="1:7" x14ac:dyDescent="0.3">
      <c r="A5" s="62" t="s">
        <v>270</v>
      </c>
      <c r="B5" s="12">
        <v>42186</v>
      </c>
      <c r="C5" s="160">
        <v>42173</v>
      </c>
      <c r="D5" s="65">
        <v>42097</v>
      </c>
      <c r="E5" s="243">
        <v>42122</v>
      </c>
      <c r="F5" s="243">
        <v>41790</v>
      </c>
      <c r="G5" s="243">
        <v>41507</v>
      </c>
    </row>
    <row r="6" spans="1:7" x14ac:dyDescent="0.3">
      <c r="A6" s="62" t="s">
        <v>271</v>
      </c>
      <c r="B6" s="12">
        <v>120628</v>
      </c>
      <c r="C6" s="160">
        <v>120700</v>
      </c>
      <c r="D6" s="65">
        <v>120719</v>
      </c>
      <c r="E6" s="243">
        <v>120281</v>
      </c>
      <c r="F6" s="243">
        <v>120423</v>
      </c>
      <c r="G6" s="243">
        <v>120556</v>
      </c>
    </row>
    <row r="7" spans="1:7" x14ac:dyDescent="0.3">
      <c r="A7" s="62" t="s">
        <v>272</v>
      </c>
      <c r="B7" s="12">
        <v>15185</v>
      </c>
      <c r="C7" s="160">
        <v>15127</v>
      </c>
      <c r="D7" s="65">
        <v>15184</v>
      </c>
      <c r="E7" s="243">
        <v>15597</v>
      </c>
      <c r="F7" s="243">
        <v>15787</v>
      </c>
      <c r="G7" s="243">
        <v>15937</v>
      </c>
    </row>
    <row r="8" spans="1:7" x14ac:dyDescent="0.3">
      <c r="A8" s="128" t="s">
        <v>113</v>
      </c>
      <c r="B8" s="21">
        <v>178000</v>
      </c>
      <c r="C8" s="161">
        <v>178000</v>
      </c>
      <c r="D8" s="66">
        <v>178000</v>
      </c>
      <c r="E8" s="89">
        <v>178000</v>
      </c>
      <c r="F8" s="89">
        <f>SUM(F5:F7)</f>
        <v>178000</v>
      </c>
      <c r="G8" s="89">
        <f>SUM(G5:G7)</f>
        <v>178000</v>
      </c>
    </row>
  </sheetData>
  <mergeCells count="1">
    <mergeCell ref="A3:A4"/>
  </mergeCells>
  <hyperlinks>
    <hyperlink ref="A1" location="Inhoud!A1" display="Terug naar inhoud" xr:uid="{E9CD5814-366B-4400-93AE-F060A56D2DEF}"/>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C48F-8269-419A-B5AB-640B4E5ED4A6}">
  <sheetPr codeName="Blad14"/>
  <dimension ref="A1:J24"/>
  <sheetViews>
    <sheetView tabSelected="1" workbookViewId="0">
      <selection activeCell="C10" sqref="C10"/>
    </sheetView>
  </sheetViews>
  <sheetFormatPr defaultColWidth="9.109375" defaultRowHeight="14.4" x14ac:dyDescent="0.3"/>
  <cols>
    <col min="1" max="1" width="30.5546875" style="7" customWidth="1"/>
    <col min="2" max="2" width="11" style="7" bestFit="1" customWidth="1"/>
    <col min="3" max="3" width="6.5546875" style="7" bestFit="1" customWidth="1"/>
    <col min="4" max="16384" width="9.109375" style="7"/>
  </cols>
  <sheetData>
    <row r="1" spans="1:10" x14ac:dyDescent="0.3">
      <c r="A1" s="375" t="s">
        <v>95</v>
      </c>
    </row>
    <row r="2" spans="1:10" x14ac:dyDescent="0.3">
      <c r="A2" s="59" t="s">
        <v>273</v>
      </c>
    </row>
    <row r="3" spans="1:10" x14ac:dyDescent="0.3">
      <c r="A3" s="59"/>
    </row>
    <row r="4" spans="1:10" x14ac:dyDescent="0.3">
      <c r="A4" s="128"/>
      <c r="B4" s="482">
        <v>2022</v>
      </c>
      <c r="C4" s="482"/>
    </row>
    <row r="5" spans="1:10" ht="55.8" x14ac:dyDescent="0.3">
      <c r="A5" s="62"/>
      <c r="B5" s="228" t="s">
        <v>155</v>
      </c>
      <c r="C5" s="100" t="s">
        <v>188</v>
      </c>
    </row>
    <row r="6" spans="1:10" ht="43.2" x14ac:dyDescent="0.3">
      <c r="A6" s="430" t="s">
        <v>274</v>
      </c>
      <c r="B6" s="65">
        <v>14141183</v>
      </c>
      <c r="C6" s="64">
        <v>58</v>
      </c>
    </row>
    <row r="7" spans="1:10" ht="43.2" x14ac:dyDescent="0.3">
      <c r="A7" s="431" t="s">
        <v>275</v>
      </c>
      <c r="B7" s="65">
        <v>3897332</v>
      </c>
      <c r="C7" s="64">
        <v>58</v>
      </c>
    </row>
    <row r="8" spans="1:10" ht="57.6" x14ac:dyDescent="0.3">
      <c r="A8" s="432" t="s">
        <v>276</v>
      </c>
      <c r="B8" s="359">
        <v>59017</v>
      </c>
      <c r="C8" s="360">
        <v>1</v>
      </c>
    </row>
    <row r="9" spans="1:10" ht="43.2" x14ac:dyDescent="0.3">
      <c r="A9" s="62" t="s">
        <v>277</v>
      </c>
      <c r="B9" s="65">
        <v>611000</v>
      </c>
      <c r="C9" s="64">
        <v>58</v>
      </c>
    </row>
    <row r="10" spans="1:10" x14ac:dyDescent="0.3">
      <c r="A10" s="433" t="s">
        <v>227</v>
      </c>
      <c r="B10" s="428">
        <f>SUM(B6:B9)</f>
        <v>18708532</v>
      </c>
      <c r="C10" s="434"/>
    </row>
    <row r="11" spans="1:10" x14ac:dyDescent="0.3">
      <c r="A11" s="59"/>
    </row>
    <row r="12" spans="1:10" x14ac:dyDescent="0.3">
      <c r="A12" s="128"/>
      <c r="B12" s="482">
        <v>2021</v>
      </c>
      <c r="C12" s="482"/>
    </row>
    <row r="13" spans="1:10" ht="55.8" x14ac:dyDescent="0.3">
      <c r="A13" s="62"/>
      <c r="B13" s="228" t="s">
        <v>155</v>
      </c>
      <c r="C13" s="100" t="s">
        <v>188</v>
      </c>
    </row>
    <row r="14" spans="1:10" x14ac:dyDescent="0.3">
      <c r="A14" s="62" t="s">
        <v>278</v>
      </c>
      <c r="B14" s="65">
        <f>4672483+3337488</f>
        <v>8009971</v>
      </c>
      <c r="C14" s="64">
        <v>58</v>
      </c>
      <c r="E14" s="258"/>
      <c r="F14" s="258"/>
      <c r="G14" s="258"/>
      <c r="H14" s="258"/>
      <c r="I14" s="258"/>
      <c r="J14" s="258"/>
    </row>
    <row r="15" spans="1:10" ht="79.5" customHeight="1" x14ac:dyDescent="0.3">
      <c r="A15" s="62" t="s">
        <v>279</v>
      </c>
      <c r="B15" s="65">
        <v>70000</v>
      </c>
      <c r="C15" s="64">
        <v>58</v>
      </c>
    </row>
    <row r="16" spans="1:10" ht="43.2" x14ac:dyDescent="0.3">
      <c r="A16" s="184" t="s">
        <v>280</v>
      </c>
      <c r="B16" s="359">
        <v>160000</v>
      </c>
      <c r="C16" s="360">
        <v>58</v>
      </c>
    </row>
    <row r="17" spans="1:3" x14ac:dyDescent="0.3">
      <c r="A17" s="358" t="s">
        <v>227</v>
      </c>
      <c r="B17" s="352">
        <f>SUM(B14:B16)</f>
        <v>8239971</v>
      </c>
      <c r="C17" s="347"/>
    </row>
    <row r="18" spans="1:3" x14ac:dyDescent="0.3">
      <c r="A18" s="59"/>
    </row>
    <row r="19" spans="1:3" x14ac:dyDescent="0.3">
      <c r="A19" s="59"/>
    </row>
    <row r="20" spans="1:3" x14ac:dyDescent="0.3">
      <c r="A20" s="128"/>
      <c r="B20" s="482">
        <v>2020</v>
      </c>
      <c r="C20" s="482"/>
    </row>
    <row r="21" spans="1:3" ht="55.8" x14ac:dyDescent="0.3">
      <c r="A21" s="62"/>
      <c r="B21" s="228" t="s">
        <v>155</v>
      </c>
      <c r="C21" s="100" t="s">
        <v>188</v>
      </c>
    </row>
    <row r="22" spans="1:3" x14ac:dyDescent="0.3">
      <c r="A22" s="62" t="s">
        <v>278</v>
      </c>
      <c r="B22" s="65">
        <v>3826141</v>
      </c>
      <c r="C22" s="64">
        <v>58</v>
      </c>
    </row>
    <row r="23" spans="1:3" x14ac:dyDescent="0.3">
      <c r="A23" s="62" t="s">
        <v>279</v>
      </c>
      <c r="B23" s="65">
        <v>50000</v>
      </c>
      <c r="C23" s="64">
        <v>58</v>
      </c>
    </row>
    <row r="24" spans="1:3" ht="28.8" x14ac:dyDescent="0.3">
      <c r="A24" s="62" t="s">
        <v>281</v>
      </c>
      <c r="B24" s="65">
        <v>109000</v>
      </c>
      <c r="C24" s="64">
        <v>58</v>
      </c>
    </row>
  </sheetData>
  <mergeCells count="3">
    <mergeCell ref="B20:C20"/>
    <mergeCell ref="B12:C12"/>
    <mergeCell ref="B4:C4"/>
  </mergeCells>
  <hyperlinks>
    <hyperlink ref="A1" location="Inhoud!A1" display="Terug naar inhoud" xr:uid="{A4394D3F-B396-40A1-BDEF-BB83755C517D}"/>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A6C7-35D4-4EF3-B193-9AB3E7B73ADE}">
  <sheetPr codeName="Blad15"/>
  <dimension ref="A1:N19"/>
  <sheetViews>
    <sheetView workbookViewId="0">
      <selection activeCell="A2" sqref="A2"/>
    </sheetView>
  </sheetViews>
  <sheetFormatPr defaultColWidth="9.109375" defaultRowHeight="14.4" x14ac:dyDescent="0.3"/>
  <cols>
    <col min="1" max="3" width="10.6640625" style="34" customWidth="1"/>
    <col min="4" max="4" width="12.44140625" style="34" customWidth="1"/>
    <col min="5" max="5" width="10.88671875" style="34" customWidth="1"/>
    <col min="6" max="6" width="12.44140625" style="34" bestFit="1" customWidth="1"/>
    <col min="7" max="7" width="11.88671875" style="34" customWidth="1"/>
    <col min="8" max="8" width="12.6640625" style="34" customWidth="1"/>
    <col min="9" max="13" width="11.88671875" style="34" customWidth="1"/>
    <col min="14" max="14" width="15" style="34" customWidth="1"/>
    <col min="15" max="16384" width="9.109375" style="34"/>
  </cols>
  <sheetData>
    <row r="1" spans="1:14" x14ac:dyDescent="0.3">
      <c r="A1" s="375" t="s">
        <v>95</v>
      </c>
    </row>
    <row r="2" spans="1:14" x14ac:dyDescent="0.3">
      <c r="A2" s="60" t="s">
        <v>282</v>
      </c>
      <c r="B2" s="60"/>
      <c r="C2" s="60"/>
    </row>
    <row r="3" spans="1:14" x14ac:dyDescent="0.3">
      <c r="A3" s="482" t="s">
        <v>54</v>
      </c>
      <c r="B3" s="483"/>
      <c r="C3" s="483"/>
      <c r="D3" s="482"/>
      <c r="E3" s="482"/>
      <c r="F3" s="482"/>
      <c r="G3" s="482"/>
      <c r="H3" s="482"/>
      <c r="I3" s="482"/>
      <c r="J3" s="482"/>
      <c r="K3" s="482"/>
      <c r="L3" s="482"/>
      <c r="M3" s="482"/>
      <c r="N3" s="482"/>
    </row>
    <row r="4" spans="1:14" x14ac:dyDescent="0.3">
      <c r="A4" s="164"/>
      <c r="B4" s="491" t="s">
        <v>283</v>
      </c>
      <c r="C4" s="491"/>
      <c r="D4" s="484" t="s">
        <v>98</v>
      </c>
      <c r="E4" s="482"/>
      <c r="F4" s="482" t="s">
        <v>99</v>
      </c>
      <c r="G4" s="482"/>
      <c r="H4" s="482" t="s">
        <v>100</v>
      </c>
      <c r="I4" s="482"/>
      <c r="J4" s="487" t="s">
        <v>101</v>
      </c>
      <c r="K4" s="484"/>
      <c r="L4" s="487" t="s">
        <v>102</v>
      </c>
      <c r="M4" s="484"/>
      <c r="N4" s="499" t="s">
        <v>116</v>
      </c>
    </row>
    <row r="5" spans="1:14" ht="80.099999999999994" customHeight="1" x14ac:dyDescent="0.3">
      <c r="A5" s="150"/>
      <c r="B5" s="234" t="s">
        <v>284</v>
      </c>
      <c r="C5" s="73" t="s">
        <v>285</v>
      </c>
      <c r="D5" s="229" t="s">
        <v>155</v>
      </c>
      <c r="E5" s="73" t="s">
        <v>188</v>
      </c>
      <c r="F5" s="228" t="s">
        <v>155</v>
      </c>
      <c r="G5" s="73" t="s">
        <v>188</v>
      </c>
      <c r="H5" s="228" t="s">
        <v>155</v>
      </c>
      <c r="I5" s="73" t="s">
        <v>188</v>
      </c>
      <c r="J5" s="228" t="s">
        <v>155</v>
      </c>
      <c r="K5" s="73" t="s">
        <v>188</v>
      </c>
      <c r="L5" s="228" t="s">
        <v>155</v>
      </c>
      <c r="M5" s="73" t="s">
        <v>188</v>
      </c>
      <c r="N5" s="500"/>
    </row>
    <row r="6" spans="1:14" x14ac:dyDescent="0.3">
      <c r="A6" s="240" t="s">
        <v>170</v>
      </c>
      <c r="B6" s="165">
        <v>4422000</v>
      </c>
      <c r="C6" s="165">
        <v>31</v>
      </c>
      <c r="D6" s="241">
        <v>3683000</v>
      </c>
      <c r="E6" s="242">
        <v>31</v>
      </c>
      <c r="F6" s="243">
        <v>3895000</v>
      </c>
      <c r="G6" s="242">
        <v>30</v>
      </c>
      <c r="H6" s="243">
        <v>3840000</v>
      </c>
      <c r="I6" s="242">
        <v>28</v>
      </c>
      <c r="J6" s="243">
        <v>3841000</v>
      </c>
      <c r="K6" s="242">
        <v>27</v>
      </c>
      <c r="L6" s="243">
        <v>3993000</v>
      </c>
      <c r="M6" s="242">
        <v>26</v>
      </c>
      <c r="N6" s="435">
        <f>(L6-J6)/J6</f>
        <v>3.9573027857328823E-2</v>
      </c>
    </row>
    <row r="7" spans="1:14" x14ac:dyDescent="0.3">
      <c r="A7" s="240" t="s">
        <v>157</v>
      </c>
      <c r="B7" s="165">
        <v>14954187</v>
      </c>
      <c r="C7" s="165">
        <v>104</v>
      </c>
      <c r="D7" s="241">
        <v>14849826</v>
      </c>
      <c r="E7" s="242">
        <v>105</v>
      </c>
      <c r="F7" s="243">
        <v>14838148</v>
      </c>
      <c r="G7" s="242">
        <v>106</v>
      </c>
      <c r="H7" s="243">
        <v>14777903</v>
      </c>
      <c r="I7" s="242">
        <v>108</v>
      </c>
      <c r="J7" s="243">
        <v>14492792</v>
      </c>
      <c r="K7" s="242">
        <v>109</v>
      </c>
      <c r="L7" s="243">
        <v>15629521</v>
      </c>
      <c r="M7" s="242">
        <v>110</v>
      </c>
      <c r="N7" s="435">
        <f>(L7-J7)/J7</f>
        <v>7.843409330652093E-2</v>
      </c>
    </row>
    <row r="8" spans="1:14" x14ac:dyDescent="0.3">
      <c r="A8" s="521" t="s">
        <v>158</v>
      </c>
      <c r="B8" s="165">
        <v>6</v>
      </c>
      <c r="C8" s="165">
        <v>4</v>
      </c>
      <c r="D8" s="522">
        <v>459097</v>
      </c>
      <c r="E8" s="523">
        <v>5</v>
      </c>
      <c r="F8" s="524">
        <v>540675</v>
      </c>
      <c r="G8" s="523">
        <v>6</v>
      </c>
      <c r="H8" s="524">
        <v>527980</v>
      </c>
      <c r="I8" s="523">
        <v>6</v>
      </c>
      <c r="J8" s="524">
        <v>550321</v>
      </c>
      <c r="K8" s="523">
        <v>6</v>
      </c>
      <c r="L8" s="531">
        <v>570564</v>
      </c>
      <c r="M8" s="532">
        <v>6</v>
      </c>
      <c r="N8" s="525">
        <f t="shared" ref="N8" si="0">(L8-J8)/J8</f>
        <v>3.6783986073582506E-2</v>
      </c>
    </row>
    <row r="9" spans="1:14" x14ac:dyDescent="0.3">
      <c r="A9" s="521"/>
      <c r="B9" s="86"/>
      <c r="C9" s="86"/>
      <c r="D9" s="522"/>
      <c r="E9" s="523"/>
      <c r="F9" s="524"/>
      <c r="G9" s="523"/>
      <c r="H9" s="524"/>
      <c r="I9" s="523"/>
      <c r="J9" s="524"/>
      <c r="K9" s="523"/>
      <c r="L9" s="526"/>
      <c r="M9" s="526"/>
      <c r="N9" s="526"/>
    </row>
    <row r="10" spans="1:14" x14ac:dyDescent="0.3">
      <c r="A10" s="164" t="s">
        <v>113</v>
      </c>
      <c r="B10" s="166">
        <f>SUM(B6:B8)</f>
        <v>19376193</v>
      </c>
      <c r="C10" s="166">
        <f>SUM(C6:C8)</f>
        <v>139</v>
      </c>
      <c r="D10" s="148">
        <v>18991923</v>
      </c>
      <c r="E10" s="232">
        <v>141</v>
      </c>
      <c r="F10" s="89">
        <v>19273823</v>
      </c>
      <c r="G10" s="232">
        <v>142</v>
      </c>
      <c r="H10" s="89">
        <v>19145883</v>
      </c>
      <c r="I10" s="232">
        <f>SUM(I6:I9)</f>
        <v>142</v>
      </c>
      <c r="J10" s="89">
        <f>SUM(J6:J9)</f>
        <v>18884113</v>
      </c>
      <c r="K10" s="232">
        <f>SUM(K6:K9)</f>
        <v>142</v>
      </c>
      <c r="L10" s="89">
        <f>L6+L7+L8</f>
        <v>20193085</v>
      </c>
      <c r="M10" s="89">
        <f>M6+M7+M8</f>
        <v>142</v>
      </c>
      <c r="N10" s="244">
        <f>(L10-J10)/J10</f>
        <v>6.9316043597070193E-2</v>
      </c>
    </row>
    <row r="11" spans="1:14" x14ac:dyDescent="0.3">
      <c r="A11" s="527"/>
      <c r="B11" s="528"/>
      <c r="C11" s="528"/>
      <c r="D11" s="529"/>
      <c r="E11" s="529"/>
      <c r="F11" s="529"/>
      <c r="G11" s="529"/>
      <c r="H11" s="529"/>
      <c r="I11" s="529"/>
      <c r="J11" s="529"/>
      <c r="K11" s="529"/>
      <c r="L11" s="529"/>
      <c r="M11" s="529"/>
      <c r="N11" s="530"/>
    </row>
    <row r="12" spans="1:14" x14ac:dyDescent="0.3">
      <c r="A12" s="482" t="s">
        <v>286</v>
      </c>
      <c r="B12" s="483"/>
      <c r="C12" s="483"/>
      <c r="D12" s="482"/>
      <c r="E12" s="482"/>
      <c r="F12" s="482"/>
      <c r="G12" s="482"/>
      <c r="H12" s="482"/>
      <c r="I12" s="482"/>
      <c r="J12" s="482"/>
      <c r="K12" s="482"/>
      <c r="L12" s="482"/>
      <c r="M12" s="482"/>
      <c r="N12" s="482"/>
    </row>
    <row r="13" spans="1:14" x14ac:dyDescent="0.3">
      <c r="A13" s="164"/>
      <c r="B13" s="491" t="s">
        <v>283</v>
      </c>
      <c r="C13" s="491"/>
      <c r="D13" s="484" t="s">
        <v>98</v>
      </c>
      <c r="E13" s="482"/>
      <c r="F13" s="482" t="s">
        <v>99</v>
      </c>
      <c r="G13" s="482"/>
      <c r="H13" s="482" t="s">
        <v>100</v>
      </c>
      <c r="I13" s="482"/>
      <c r="J13" s="487" t="s">
        <v>101</v>
      </c>
      <c r="K13" s="484"/>
      <c r="L13" s="487" t="s">
        <v>102</v>
      </c>
      <c r="M13" s="484"/>
      <c r="N13" s="499" t="s">
        <v>116</v>
      </c>
    </row>
    <row r="14" spans="1:14" ht="80.099999999999994" customHeight="1" x14ac:dyDescent="0.3">
      <c r="A14" s="164"/>
      <c r="B14" s="234" t="s">
        <v>284</v>
      </c>
      <c r="C14" s="73" t="s">
        <v>285</v>
      </c>
      <c r="D14" s="229" t="s">
        <v>155</v>
      </c>
      <c r="E14" s="73" t="s">
        <v>188</v>
      </c>
      <c r="F14" s="228" t="s">
        <v>155</v>
      </c>
      <c r="G14" s="73" t="s">
        <v>188</v>
      </c>
      <c r="H14" s="228" t="s">
        <v>155</v>
      </c>
      <c r="I14" s="73" t="s">
        <v>188</v>
      </c>
      <c r="J14" s="228" t="s">
        <v>155</v>
      </c>
      <c r="K14" s="73" t="s">
        <v>188</v>
      </c>
      <c r="L14" s="228" t="s">
        <v>155</v>
      </c>
      <c r="M14" s="73" t="s">
        <v>188</v>
      </c>
      <c r="N14" s="500"/>
    </row>
    <row r="15" spans="1:14" x14ac:dyDescent="0.3">
      <c r="A15" s="240" t="s">
        <v>287</v>
      </c>
      <c r="B15" s="30" t="s">
        <v>185</v>
      </c>
      <c r="C15" s="30" t="s">
        <v>185</v>
      </c>
      <c r="D15" s="30" t="s">
        <v>185</v>
      </c>
      <c r="E15" s="30" t="s">
        <v>185</v>
      </c>
      <c r="F15" s="30" t="s">
        <v>185</v>
      </c>
      <c r="G15" s="30" t="s">
        <v>185</v>
      </c>
      <c r="H15" s="30" t="s">
        <v>185</v>
      </c>
      <c r="I15" s="30" t="s">
        <v>185</v>
      </c>
      <c r="J15" s="30" t="s">
        <v>185</v>
      </c>
      <c r="K15" s="30" t="s">
        <v>185</v>
      </c>
      <c r="L15" s="33" t="s">
        <v>185</v>
      </c>
      <c r="M15" s="33" t="s">
        <v>185</v>
      </c>
      <c r="N15" s="33" t="s">
        <v>185</v>
      </c>
    </row>
    <row r="16" spans="1:14" x14ac:dyDescent="0.3">
      <c r="A16" s="240" t="s">
        <v>157</v>
      </c>
      <c r="B16" s="165">
        <v>3321968</v>
      </c>
      <c r="C16" s="165">
        <v>103</v>
      </c>
      <c r="D16" s="241">
        <v>3374254</v>
      </c>
      <c r="E16" s="242">
        <v>102</v>
      </c>
      <c r="F16" s="243">
        <v>3370387</v>
      </c>
      <c r="G16" s="242">
        <v>105</v>
      </c>
      <c r="H16" s="243">
        <v>3375100</v>
      </c>
      <c r="I16" s="242">
        <v>105</v>
      </c>
      <c r="J16" s="243">
        <v>3388056</v>
      </c>
      <c r="K16" s="242">
        <v>107</v>
      </c>
      <c r="L16" s="242">
        <v>3534459</v>
      </c>
      <c r="M16" s="242">
        <v>110</v>
      </c>
      <c r="N16" s="436">
        <f>(L16-J16)/J16</f>
        <v>4.3211505358825238E-2</v>
      </c>
    </row>
    <row r="17" spans="1:14" x14ac:dyDescent="0.3">
      <c r="A17" s="240" t="s">
        <v>158</v>
      </c>
      <c r="B17" s="165">
        <v>128031</v>
      </c>
      <c r="C17" s="165">
        <v>3</v>
      </c>
      <c r="D17" s="241">
        <v>106746</v>
      </c>
      <c r="E17" s="242">
        <v>4</v>
      </c>
      <c r="F17" s="243">
        <v>146613</v>
      </c>
      <c r="G17" s="242">
        <v>5</v>
      </c>
      <c r="H17" s="243">
        <v>156900</v>
      </c>
      <c r="I17" s="242">
        <v>6</v>
      </c>
      <c r="J17" s="243">
        <v>166944</v>
      </c>
      <c r="K17" s="242">
        <v>6</v>
      </c>
      <c r="L17" s="242">
        <v>171541</v>
      </c>
      <c r="M17" s="242">
        <v>6</v>
      </c>
      <c r="N17" s="436">
        <f>(L17-J17)/J17</f>
        <v>2.7536179796818095E-2</v>
      </c>
    </row>
    <row r="18" spans="1:14" x14ac:dyDescent="0.3">
      <c r="A18" s="164" t="s">
        <v>113</v>
      </c>
      <c r="B18" s="166">
        <f>SUM(B16:B17)</f>
        <v>3449999</v>
      </c>
      <c r="C18" s="166">
        <f t="shared" ref="C18" si="1">SUM(C16:C17)</f>
        <v>106</v>
      </c>
      <c r="D18" s="148">
        <v>3481000</v>
      </c>
      <c r="E18" s="232">
        <v>106</v>
      </c>
      <c r="F18" s="89">
        <v>3517000</v>
      </c>
      <c r="G18" s="232">
        <v>110</v>
      </c>
      <c r="H18" s="89">
        <v>3532000</v>
      </c>
      <c r="I18" s="232">
        <v>111</v>
      </c>
      <c r="J18" s="89">
        <f>SUM(J16:J17)</f>
        <v>3555000</v>
      </c>
      <c r="K18" s="89">
        <f>SUM(K16:K17)</f>
        <v>113</v>
      </c>
      <c r="L18" s="89">
        <v>3706000</v>
      </c>
      <c r="M18" s="89">
        <v>38</v>
      </c>
      <c r="N18" s="436">
        <f>(L18-J18)/J18</f>
        <v>4.2475386779184249E-2</v>
      </c>
    </row>
    <row r="19" spans="1:14" x14ac:dyDescent="0.3">
      <c r="A19" s="26" t="s">
        <v>288</v>
      </c>
      <c r="B19" s="26"/>
      <c r="C19" s="26"/>
    </row>
  </sheetData>
  <mergeCells count="29">
    <mergeCell ref="L4:M4"/>
    <mergeCell ref="L13:M13"/>
    <mergeCell ref="J8:J9"/>
    <mergeCell ref="A12:N12"/>
    <mergeCell ref="D13:E13"/>
    <mergeCell ref="F13:G13"/>
    <mergeCell ref="H13:I13"/>
    <mergeCell ref="N13:N14"/>
    <mergeCell ref="B13:C13"/>
    <mergeCell ref="J13:K13"/>
    <mergeCell ref="A11:N11"/>
    <mergeCell ref="L8:L9"/>
    <mergeCell ref="M8:M9"/>
    <mergeCell ref="A3:N3"/>
    <mergeCell ref="D4:E4"/>
    <mergeCell ref="F4:G4"/>
    <mergeCell ref="H4:I4"/>
    <mergeCell ref="A8:A9"/>
    <mergeCell ref="D8:D9"/>
    <mergeCell ref="E8:E9"/>
    <mergeCell ref="F8:F9"/>
    <mergeCell ref="G8:G9"/>
    <mergeCell ref="H8:H9"/>
    <mergeCell ref="I8:I9"/>
    <mergeCell ref="N8:N9"/>
    <mergeCell ref="N4:N5"/>
    <mergeCell ref="B4:C4"/>
    <mergeCell ref="J4:K4"/>
    <mergeCell ref="K8:K9"/>
  </mergeCells>
  <hyperlinks>
    <hyperlink ref="A1" location="Inhoud!A1" display="Terug naar inhoud" xr:uid="{210737B7-53CE-4091-8A4D-35F3C0B5D75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943CB-B7F3-4041-B98E-855C7A10B3F3}">
  <sheetPr codeName="Blad16"/>
  <dimension ref="A1:J21"/>
  <sheetViews>
    <sheetView workbookViewId="0">
      <selection activeCell="A2" sqref="A2"/>
    </sheetView>
  </sheetViews>
  <sheetFormatPr defaultColWidth="9.109375" defaultRowHeight="14.4" x14ac:dyDescent="0.3"/>
  <cols>
    <col min="1" max="1" width="43.6640625" style="7" customWidth="1"/>
    <col min="2" max="2" width="12.109375" style="7" customWidth="1"/>
    <col min="3" max="16384" width="9.109375" style="7"/>
  </cols>
  <sheetData>
    <row r="1" spans="1:10" x14ac:dyDescent="0.3">
      <c r="A1" s="375" t="s">
        <v>95</v>
      </c>
    </row>
    <row r="2" spans="1:10" x14ac:dyDescent="0.3">
      <c r="A2" s="8" t="s">
        <v>289</v>
      </c>
    </row>
    <row r="3" spans="1:10" x14ac:dyDescent="0.3">
      <c r="A3" s="106"/>
      <c r="B3" s="517" t="s">
        <v>102</v>
      </c>
      <c r="C3" s="517"/>
    </row>
    <row r="4" spans="1:10" ht="40.200000000000003" x14ac:dyDescent="0.3">
      <c r="A4" s="53"/>
      <c r="B4" s="238" t="s">
        <v>155</v>
      </c>
      <c r="C4" s="107" t="s">
        <v>188</v>
      </c>
    </row>
    <row r="5" spans="1:10" ht="28.8" x14ac:dyDescent="0.3">
      <c r="A5" s="37" t="s">
        <v>290</v>
      </c>
      <c r="B5" s="94">
        <v>1000000</v>
      </c>
      <c r="C5" s="70">
        <v>129</v>
      </c>
    </row>
    <row r="6" spans="1:10" ht="28.8" x14ac:dyDescent="0.3">
      <c r="A6" s="37" t="s">
        <v>291</v>
      </c>
      <c r="B6" s="94">
        <f>11200+23200+1033150+4150</f>
        <v>1071700</v>
      </c>
      <c r="C6" s="70">
        <v>71</v>
      </c>
    </row>
    <row r="7" spans="1:10" ht="28.8" x14ac:dyDescent="0.3">
      <c r="A7" s="150" t="s">
        <v>292</v>
      </c>
      <c r="B7" s="437">
        <v>1073000</v>
      </c>
      <c r="C7" s="70">
        <v>166</v>
      </c>
    </row>
    <row r="8" spans="1:10" ht="23.25" customHeight="1" x14ac:dyDescent="0.3">
      <c r="A8" s="438" t="s">
        <v>227</v>
      </c>
      <c r="B8" s="344">
        <f>SUM(B5:B7)</f>
        <v>3144700</v>
      </c>
      <c r="C8" s="438"/>
    </row>
    <row r="9" spans="1:10" x14ac:dyDescent="0.3">
      <c r="A9" s="74"/>
      <c r="B9" s="34"/>
      <c r="C9" s="34"/>
    </row>
    <row r="10" spans="1:10" x14ac:dyDescent="0.3">
      <c r="A10" s="106"/>
      <c r="B10" s="517" t="s">
        <v>101</v>
      </c>
      <c r="C10" s="517"/>
    </row>
    <row r="11" spans="1:10" ht="40.200000000000003" x14ac:dyDescent="0.3">
      <c r="A11" s="53"/>
      <c r="B11" s="238" t="s">
        <v>155</v>
      </c>
      <c r="C11" s="107" t="s">
        <v>188</v>
      </c>
      <c r="E11" s="258"/>
      <c r="F11" s="258"/>
      <c r="G11" s="258"/>
      <c r="H11" s="258"/>
      <c r="I11" s="258"/>
      <c r="J11" s="258"/>
    </row>
    <row r="12" spans="1:10" ht="28.8" x14ac:dyDescent="0.3">
      <c r="A12" s="37" t="s">
        <v>290</v>
      </c>
      <c r="B12" s="94">
        <v>900000</v>
      </c>
      <c r="C12" s="70">
        <v>132</v>
      </c>
    </row>
    <row r="13" spans="1:10" ht="30" customHeight="1" x14ac:dyDescent="0.3">
      <c r="A13" s="37" t="s">
        <v>293</v>
      </c>
      <c r="B13" s="94">
        <v>5253700</v>
      </c>
      <c r="C13" s="70">
        <v>105</v>
      </c>
    </row>
    <row r="14" spans="1:10" ht="30" customHeight="1" x14ac:dyDescent="0.3">
      <c r="A14" s="361" t="s">
        <v>294</v>
      </c>
      <c r="B14" s="362">
        <v>401321.61</v>
      </c>
      <c r="C14" s="363">
        <v>169</v>
      </c>
    </row>
    <row r="15" spans="1:10" ht="30" customHeight="1" x14ac:dyDescent="0.3">
      <c r="A15" s="351" t="s">
        <v>227</v>
      </c>
      <c r="B15" s="352">
        <f>SUM(B12:B14)</f>
        <v>6555021.6100000003</v>
      </c>
      <c r="C15" s="351"/>
    </row>
    <row r="16" spans="1:10" x14ac:dyDescent="0.3">
      <c r="A16" s="8"/>
    </row>
    <row r="17" spans="1:3" x14ac:dyDescent="0.3">
      <c r="A17" s="106"/>
      <c r="B17" s="517" t="s">
        <v>100</v>
      </c>
      <c r="C17" s="517"/>
    </row>
    <row r="18" spans="1:3" ht="40.200000000000003" x14ac:dyDescent="0.3">
      <c r="A18" s="53"/>
      <c r="B18" s="238" t="s">
        <v>155</v>
      </c>
      <c r="C18" s="107" t="s">
        <v>188</v>
      </c>
    </row>
    <row r="19" spans="1:3" ht="28.8" x14ac:dyDescent="0.3">
      <c r="A19" s="37" t="s">
        <v>290</v>
      </c>
      <c r="B19" s="94">
        <v>499000</v>
      </c>
      <c r="C19" s="70">
        <v>115</v>
      </c>
    </row>
    <row r="20" spans="1:3" ht="28.8" x14ac:dyDescent="0.3">
      <c r="A20" s="37" t="s">
        <v>295</v>
      </c>
      <c r="B20" s="94">
        <v>1484850</v>
      </c>
      <c r="C20" s="70">
        <v>51</v>
      </c>
    </row>
    <row r="21" spans="1:3" x14ac:dyDescent="0.3">
      <c r="A21" s="37" t="s">
        <v>294</v>
      </c>
      <c r="B21" s="94">
        <v>297073</v>
      </c>
      <c r="C21" s="70">
        <v>166</v>
      </c>
    </row>
  </sheetData>
  <mergeCells count="3">
    <mergeCell ref="B17:C17"/>
    <mergeCell ref="B10:C10"/>
    <mergeCell ref="B3:C3"/>
  </mergeCells>
  <hyperlinks>
    <hyperlink ref="A1" location="Inhoud!A1" display="Terug naar inhoud" xr:uid="{12654F09-446A-4D56-AA04-05EBCA5B58C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11370-802F-4F1F-ACA8-F0CCE9449E0C}">
  <sheetPr codeName="Blad17"/>
  <dimension ref="A1:P8"/>
  <sheetViews>
    <sheetView workbookViewId="0">
      <selection activeCell="A2" sqref="A2"/>
    </sheetView>
  </sheetViews>
  <sheetFormatPr defaultColWidth="9.109375" defaultRowHeight="14.4" x14ac:dyDescent="0.3"/>
  <cols>
    <col min="1" max="1" width="14.109375" style="7" bestFit="1" customWidth="1"/>
    <col min="2" max="2" width="14.109375" style="7" customWidth="1"/>
    <col min="3" max="3" width="7.6640625" style="7" customWidth="1"/>
    <col min="4" max="4" width="12.6640625" style="7" customWidth="1"/>
    <col min="5" max="5" width="7.6640625" style="7" customWidth="1"/>
    <col min="6" max="6" width="12.6640625" style="7" customWidth="1"/>
    <col min="7" max="7" width="7.6640625" style="7" customWidth="1"/>
    <col min="8" max="8" width="12.6640625" style="7" customWidth="1"/>
    <col min="9" max="9" width="7.6640625" style="7" customWidth="1"/>
    <col min="10" max="10" width="12.6640625" style="7" customWidth="1"/>
    <col min="11" max="11" width="7.6640625" style="7" customWidth="1"/>
    <col min="12" max="12" width="15" style="7" customWidth="1"/>
    <col min="13" max="13" width="7.6640625" style="7" customWidth="1"/>
    <col min="14" max="14" width="14.6640625" style="7" customWidth="1"/>
    <col min="15" max="15" width="7.88671875" style="7" customWidth="1"/>
    <col min="16" max="16" width="10" style="7" bestFit="1" customWidth="1"/>
    <col min="17" max="16384" width="9.109375" style="7"/>
  </cols>
  <sheetData>
    <row r="1" spans="1:16" x14ac:dyDescent="0.3">
      <c r="A1" s="375" t="s">
        <v>95</v>
      </c>
    </row>
    <row r="2" spans="1:16" x14ac:dyDescent="0.3">
      <c r="A2" s="17" t="s">
        <v>296</v>
      </c>
      <c r="B2" s="17"/>
      <c r="C2" s="17"/>
      <c r="E2" s="23"/>
      <c r="F2" s="23"/>
      <c r="G2" s="24"/>
    </row>
    <row r="3" spans="1:16" ht="28.95" customHeight="1" x14ac:dyDescent="0.3">
      <c r="A3" s="68" t="s">
        <v>297</v>
      </c>
      <c r="B3" s="536" t="s">
        <v>97</v>
      </c>
      <c r="C3" s="537"/>
      <c r="D3" s="533" t="s">
        <v>98</v>
      </c>
      <c r="E3" s="533"/>
      <c r="F3" s="533" t="s">
        <v>99</v>
      </c>
      <c r="G3" s="533"/>
      <c r="H3" s="533" t="s">
        <v>100</v>
      </c>
      <c r="I3" s="533"/>
      <c r="J3" s="536" t="s">
        <v>101</v>
      </c>
      <c r="K3" s="537"/>
      <c r="L3" s="536" t="s">
        <v>102</v>
      </c>
      <c r="M3" s="537"/>
      <c r="N3" s="534" t="s">
        <v>116</v>
      </c>
    </row>
    <row r="4" spans="1:16" ht="28.8" x14ac:dyDescent="0.3">
      <c r="A4" s="37"/>
      <c r="B4" s="245" t="s">
        <v>155</v>
      </c>
      <c r="C4" s="245" t="s">
        <v>118</v>
      </c>
      <c r="D4" s="245" t="s">
        <v>155</v>
      </c>
      <c r="E4" s="245" t="s">
        <v>118</v>
      </c>
      <c r="F4" s="245" t="s">
        <v>155</v>
      </c>
      <c r="G4" s="245" t="s">
        <v>118</v>
      </c>
      <c r="H4" s="245" t="s">
        <v>155</v>
      </c>
      <c r="I4" s="245" t="s">
        <v>118</v>
      </c>
      <c r="J4" s="245" t="s">
        <v>155</v>
      </c>
      <c r="K4" s="245" t="s">
        <v>118</v>
      </c>
      <c r="L4" s="245" t="s">
        <v>155</v>
      </c>
      <c r="M4" s="245" t="s">
        <v>118</v>
      </c>
      <c r="N4" s="535"/>
    </row>
    <row r="5" spans="1:16" x14ac:dyDescent="0.3">
      <c r="A5" s="37" t="s">
        <v>170</v>
      </c>
      <c r="B5" s="165">
        <v>1729877</v>
      </c>
      <c r="C5" s="170">
        <v>15</v>
      </c>
      <c r="D5" s="167">
        <v>1730000</v>
      </c>
      <c r="E5" s="33">
        <v>15</v>
      </c>
      <c r="F5" s="36">
        <v>1730000</v>
      </c>
      <c r="G5" s="33">
        <v>15</v>
      </c>
      <c r="H5" s="38">
        <v>1646660.89</v>
      </c>
      <c r="I5" s="33">
        <v>15</v>
      </c>
      <c r="J5" s="38">
        <v>1657770.16</v>
      </c>
      <c r="K5" s="33">
        <v>15</v>
      </c>
      <c r="L5" s="38">
        <v>1663481.4</v>
      </c>
      <c r="M5" s="33">
        <v>15</v>
      </c>
      <c r="N5" s="69">
        <f>(L5-J5)/J5</f>
        <v>3.445133793456622E-3</v>
      </c>
      <c r="P5" s="108"/>
    </row>
    <row r="6" spans="1:16" x14ac:dyDescent="0.3">
      <c r="A6" s="37" t="s">
        <v>157</v>
      </c>
      <c r="B6" s="165">
        <v>57997</v>
      </c>
      <c r="C6" s="170">
        <v>4</v>
      </c>
      <c r="D6" s="168">
        <v>55623.34</v>
      </c>
      <c r="E6" s="33">
        <v>4</v>
      </c>
      <c r="F6" s="38">
        <v>56331.4</v>
      </c>
      <c r="G6" s="33">
        <v>4</v>
      </c>
      <c r="H6" s="38">
        <v>85244.07</v>
      </c>
      <c r="I6" s="33">
        <v>5</v>
      </c>
      <c r="J6" s="38">
        <v>90566.97</v>
      </c>
      <c r="K6" s="33">
        <v>5</v>
      </c>
      <c r="L6" s="38">
        <v>92162.316879999998</v>
      </c>
      <c r="M6" s="33">
        <v>5</v>
      </c>
      <c r="N6" s="69">
        <f t="shared" ref="N6:N8" si="0">(L6-J6)/J6</f>
        <v>1.7615107141157504E-2</v>
      </c>
      <c r="P6" s="108"/>
    </row>
    <row r="7" spans="1:16" x14ac:dyDescent="0.3">
      <c r="A7" s="37" t="s">
        <v>158</v>
      </c>
      <c r="B7" s="165">
        <v>2789645</v>
      </c>
      <c r="C7" s="170">
        <v>149</v>
      </c>
      <c r="D7" s="168">
        <v>2800152.23</v>
      </c>
      <c r="E7" s="33">
        <v>149</v>
      </c>
      <c r="F7" s="38">
        <v>2813526.26</v>
      </c>
      <c r="G7" s="33">
        <v>149</v>
      </c>
      <c r="H7" s="38">
        <v>2764771.48</v>
      </c>
      <c r="I7" s="33">
        <v>148</v>
      </c>
      <c r="J7" s="38">
        <v>2858334.19</v>
      </c>
      <c r="K7" s="33">
        <v>147</v>
      </c>
      <c r="L7" s="38">
        <v>2839556.82</v>
      </c>
      <c r="M7" s="33">
        <v>145</v>
      </c>
      <c r="N7" s="69">
        <f t="shared" si="0"/>
        <v>-6.5693403051656852E-3</v>
      </c>
      <c r="P7" s="108"/>
    </row>
    <row r="8" spans="1:16" x14ac:dyDescent="0.3">
      <c r="A8" s="35" t="s">
        <v>298</v>
      </c>
      <c r="B8" s="166">
        <v>4577519</v>
      </c>
      <c r="C8" s="171">
        <v>168</v>
      </c>
      <c r="D8" s="169">
        <v>4585775.57</v>
      </c>
      <c r="E8" s="32">
        <v>168</v>
      </c>
      <c r="F8" s="39">
        <v>4599857.66</v>
      </c>
      <c r="G8" s="32">
        <v>168</v>
      </c>
      <c r="H8" s="39">
        <v>4496676.4400000004</v>
      </c>
      <c r="I8" s="32">
        <v>168</v>
      </c>
      <c r="J8" s="39">
        <f>SUM(J5:J7)</f>
        <v>4606671.32</v>
      </c>
      <c r="K8" s="32">
        <f>SUM(K5:K7)</f>
        <v>167</v>
      </c>
      <c r="L8" s="39">
        <f>SUM(L5:L7)</f>
        <v>4595200.5368799996</v>
      </c>
      <c r="M8" s="32">
        <f>SUM(M5:M7)</f>
        <v>165</v>
      </c>
      <c r="N8" s="385">
        <f t="shared" si="0"/>
        <v>-2.4900372358236172E-3</v>
      </c>
      <c r="P8" s="108"/>
    </row>
  </sheetData>
  <mergeCells count="7">
    <mergeCell ref="D3:E3"/>
    <mergeCell ref="F3:G3"/>
    <mergeCell ref="H3:I3"/>
    <mergeCell ref="N3:N4"/>
    <mergeCell ref="B3:C3"/>
    <mergeCell ref="J3:K3"/>
    <mergeCell ref="L3:M3"/>
  </mergeCells>
  <hyperlinks>
    <hyperlink ref="A1" location="Inhoud!A1" display="Terug naar inhoud" xr:uid="{FC674652-A22F-49EB-B448-C6CDE21D752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ADC33-27A6-4212-B7AC-189056602477}">
  <sheetPr codeName="Blad18"/>
  <dimension ref="A1:N17"/>
  <sheetViews>
    <sheetView workbookViewId="0">
      <selection activeCell="A2" sqref="A2"/>
    </sheetView>
  </sheetViews>
  <sheetFormatPr defaultColWidth="9.109375" defaultRowHeight="14.4" x14ac:dyDescent="0.3"/>
  <cols>
    <col min="1" max="2" width="18" style="34" customWidth="1"/>
    <col min="3" max="3" width="7.88671875" style="34" customWidth="1"/>
    <col min="4" max="4" width="9.109375" style="34" bestFit="1" customWidth="1"/>
    <col min="5" max="5" width="7.88671875" style="34" bestFit="1" customWidth="1"/>
    <col min="6" max="6" width="9.109375" style="34" bestFit="1" customWidth="1"/>
    <col min="7" max="7" width="7.88671875" style="34" bestFit="1" customWidth="1"/>
    <col min="8" max="8" width="11.6640625" style="34" bestFit="1" customWidth="1"/>
    <col min="9" max="9" width="7.88671875" style="34" bestFit="1" customWidth="1"/>
    <col min="10" max="10" width="12.5546875" style="34" bestFit="1" customWidth="1"/>
    <col min="11" max="11" width="9.88671875" style="34" bestFit="1" customWidth="1"/>
    <col min="12" max="12" width="15.109375" style="34" customWidth="1"/>
    <col min="13" max="13" width="7.88671875" style="34" customWidth="1"/>
    <col min="14" max="14" width="12.6640625" style="34" customWidth="1"/>
    <col min="15" max="15" width="9.109375" style="34"/>
    <col min="16" max="16" width="10.33203125" style="34" customWidth="1"/>
    <col min="17" max="16384" width="9.109375" style="34"/>
  </cols>
  <sheetData>
    <row r="1" spans="1:14" x14ac:dyDescent="0.3">
      <c r="A1" s="375" t="s">
        <v>95</v>
      </c>
    </row>
    <row r="2" spans="1:14" x14ac:dyDescent="0.3">
      <c r="A2" s="17" t="s">
        <v>299</v>
      </c>
      <c r="B2" s="17"/>
      <c r="C2" s="17"/>
      <c r="E2" s="24"/>
      <c r="F2" s="24"/>
      <c r="G2" s="24"/>
    </row>
    <row r="3" spans="1:14" x14ac:dyDescent="0.3">
      <c r="A3" s="172" t="s">
        <v>300</v>
      </c>
      <c r="B3" s="538" t="s">
        <v>97</v>
      </c>
      <c r="C3" s="538"/>
      <c r="D3" s="537" t="s">
        <v>98</v>
      </c>
      <c r="E3" s="533"/>
      <c r="F3" s="533" t="s">
        <v>99</v>
      </c>
      <c r="G3" s="533"/>
      <c r="H3" s="533" t="s">
        <v>100</v>
      </c>
      <c r="I3" s="533"/>
      <c r="J3" s="533" t="s">
        <v>101</v>
      </c>
      <c r="K3" s="533"/>
      <c r="L3" s="533" t="s">
        <v>102</v>
      </c>
      <c r="M3" s="533"/>
      <c r="N3" s="533" t="s">
        <v>116</v>
      </c>
    </row>
    <row r="4" spans="1:14" ht="42" customHeight="1" x14ac:dyDescent="0.3">
      <c r="A4" s="173"/>
      <c r="B4" s="247" t="s">
        <v>155</v>
      </c>
      <c r="C4" s="247" t="s">
        <v>118</v>
      </c>
      <c r="D4" s="246" t="s">
        <v>155</v>
      </c>
      <c r="E4" s="245" t="s">
        <v>118</v>
      </c>
      <c r="F4" s="245" t="s">
        <v>155</v>
      </c>
      <c r="G4" s="245" t="s">
        <v>118</v>
      </c>
      <c r="H4" s="245" t="s">
        <v>155</v>
      </c>
      <c r="I4" s="245" t="s">
        <v>118</v>
      </c>
      <c r="J4" s="245" t="s">
        <v>155</v>
      </c>
      <c r="K4" s="245" t="s">
        <v>118</v>
      </c>
      <c r="L4" s="245" t="s">
        <v>155</v>
      </c>
      <c r="M4" s="245" t="s">
        <v>118</v>
      </c>
      <c r="N4" s="533"/>
    </row>
    <row r="5" spans="1:14" x14ac:dyDescent="0.3">
      <c r="A5" s="172" t="s">
        <v>301</v>
      </c>
      <c r="B5" s="165">
        <v>31969</v>
      </c>
      <c r="C5" s="170">
        <v>167</v>
      </c>
      <c r="D5" s="168">
        <v>32103.66</v>
      </c>
      <c r="E5" s="33">
        <v>167</v>
      </c>
      <c r="F5" s="38">
        <v>32418.639999999999</v>
      </c>
      <c r="G5" s="33">
        <v>167</v>
      </c>
      <c r="H5" s="38">
        <v>33045.06</v>
      </c>
      <c r="I5" s="33">
        <v>167</v>
      </c>
      <c r="J5" s="38">
        <v>33874.700000000019</v>
      </c>
      <c r="K5" s="33">
        <v>166</v>
      </c>
      <c r="L5" s="38">
        <v>39857.24</v>
      </c>
      <c r="M5" s="33">
        <v>165</v>
      </c>
      <c r="N5" s="69">
        <f>(L5-J5)/J5</f>
        <v>0.17660791091876757</v>
      </c>
    </row>
    <row r="6" spans="1:14" x14ac:dyDescent="0.3">
      <c r="A6" s="172" t="s">
        <v>220</v>
      </c>
      <c r="B6" s="165">
        <v>255000</v>
      </c>
      <c r="C6" s="170">
        <v>168</v>
      </c>
      <c r="D6" s="167">
        <v>255000</v>
      </c>
      <c r="E6" s="33">
        <v>168</v>
      </c>
      <c r="F6" s="36">
        <v>255000</v>
      </c>
      <c r="G6" s="33">
        <v>168</v>
      </c>
      <c r="H6" s="36">
        <v>255000</v>
      </c>
      <c r="I6" s="33">
        <v>168</v>
      </c>
      <c r="J6" s="36">
        <v>255000</v>
      </c>
      <c r="K6" s="33">
        <v>167</v>
      </c>
      <c r="L6" s="36">
        <v>255000</v>
      </c>
      <c r="M6" s="33">
        <v>165</v>
      </c>
      <c r="N6" s="69">
        <f>(L6-J6)/J6</f>
        <v>0</v>
      </c>
    </row>
    <row r="7" spans="1:14" x14ac:dyDescent="0.3">
      <c r="A7" s="172" t="s">
        <v>302</v>
      </c>
      <c r="B7" s="33" t="s">
        <v>181</v>
      </c>
      <c r="C7" s="33" t="s">
        <v>181</v>
      </c>
      <c r="D7" s="33" t="s">
        <v>181</v>
      </c>
      <c r="E7" s="33" t="s">
        <v>181</v>
      </c>
      <c r="F7" s="33" t="s">
        <v>181</v>
      </c>
      <c r="G7" s="33" t="s">
        <v>181</v>
      </c>
      <c r="H7" s="38">
        <v>1001615.52</v>
      </c>
      <c r="I7" s="33">
        <v>168</v>
      </c>
      <c r="J7" s="38">
        <v>2771965.8900000006</v>
      </c>
      <c r="K7" s="33">
        <v>167</v>
      </c>
      <c r="L7" s="33" t="s">
        <v>181</v>
      </c>
      <c r="M7" s="33" t="s">
        <v>181</v>
      </c>
      <c r="N7" s="33" t="s">
        <v>181</v>
      </c>
    </row>
    <row r="8" spans="1:14" s="7" customFormat="1" ht="43.2" x14ac:dyDescent="0.3">
      <c r="A8" s="172" t="s">
        <v>303</v>
      </c>
      <c r="B8" s="33" t="s">
        <v>181</v>
      </c>
      <c r="C8" s="33" t="s">
        <v>181</v>
      </c>
      <c r="D8" s="33" t="s">
        <v>181</v>
      </c>
      <c r="E8" s="33" t="s">
        <v>181</v>
      </c>
      <c r="F8" s="33" t="s">
        <v>181</v>
      </c>
      <c r="G8" s="33" t="s">
        <v>181</v>
      </c>
      <c r="H8" s="33" t="s">
        <v>181</v>
      </c>
      <c r="I8" s="33" t="s">
        <v>181</v>
      </c>
      <c r="J8" s="38">
        <v>2012233</v>
      </c>
      <c r="K8" s="243">
        <v>165</v>
      </c>
      <c r="L8" s="33" t="s">
        <v>181</v>
      </c>
      <c r="M8" s="33" t="s">
        <v>181</v>
      </c>
      <c r="N8" s="33" t="s">
        <v>181</v>
      </c>
    </row>
    <row r="9" spans="1:14" ht="43.2" x14ac:dyDescent="0.3">
      <c r="A9" s="172" t="s">
        <v>304</v>
      </c>
      <c r="B9" s="33" t="s">
        <v>181</v>
      </c>
      <c r="C9" s="33" t="s">
        <v>181</v>
      </c>
      <c r="D9" s="33" t="s">
        <v>181</v>
      </c>
      <c r="E9" s="33" t="s">
        <v>181</v>
      </c>
      <c r="F9" s="33" t="s">
        <v>181</v>
      </c>
      <c r="G9" s="33" t="s">
        <v>181</v>
      </c>
      <c r="H9" s="33" t="s">
        <v>181</v>
      </c>
      <c r="I9" s="33" t="s">
        <v>181</v>
      </c>
      <c r="J9" s="38">
        <v>3232770.75</v>
      </c>
      <c r="K9" s="33">
        <v>168</v>
      </c>
      <c r="L9" s="33" t="s">
        <v>181</v>
      </c>
      <c r="M9" s="33" t="s">
        <v>181</v>
      </c>
      <c r="N9" s="33" t="s">
        <v>181</v>
      </c>
    </row>
    <row r="10" spans="1:14" ht="43.2" x14ac:dyDescent="0.3">
      <c r="A10" s="172" t="s">
        <v>305</v>
      </c>
      <c r="B10" s="33" t="s">
        <v>181</v>
      </c>
      <c r="C10" s="33" t="s">
        <v>181</v>
      </c>
      <c r="D10" s="33" t="s">
        <v>181</v>
      </c>
      <c r="E10" s="33" t="s">
        <v>181</v>
      </c>
      <c r="F10" s="33" t="s">
        <v>181</v>
      </c>
      <c r="G10" s="33" t="s">
        <v>181</v>
      </c>
      <c r="H10" s="33" t="s">
        <v>181</v>
      </c>
      <c r="I10" s="33" t="s">
        <v>181</v>
      </c>
      <c r="J10" s="38" t="s">
        <v>181</v>
      </c>
      <c r="K10" s="33" t="s">
        <v>181</v>
      </c>
      <c r="L10" s="36">
        <v>504511.92</v>
      </c>
      <c r="M10" s="33">
        <v>165</v>
      </c>
      <c r="N10" s="33" t="s">
        <v>181</v>
      </c>
    </row>
    <row r="11" spans="1:14" ht="57.6" x14ac:dyDescent="0.3">
      <c r="A11" s="402" t="s">
        <v>306</v>
      </c>
      <c r="B11" s="165" t="s">
        <v>181</v>
      </c>
      <c r="C11" s="170" t="s">
        <v>181</v>
      </c>
      <c r="D11" s="167" t="s">
        <v>181</v>
      </c>
      <c r="E11" s="33" t="s">
        <v>181</v>
      </c>
      <c r="F11" s="36" t="s">
        <v>181</v>
      </c>
      <c r="G11" s="33" t="s">
        <v>181</v>
      </c>
      <c r="H11" s="36" t="s">
        <v>181</v>
      </c>
      <c r="I11" s="33" t="s">
        <v>181</v>
      </c>
      <c r="J11" s="36" t="s">
        <v>181</v>
      </c>
      <c r="K11" s="33" t="s">
        <v>181</v>
      </c>
      <c r="L11" s="38">
        <v>72000</v>
      </c>
      <c r="M11" s="33">
        <v>165</v>
      </c>
      <c r="N11" s="69" t="s">
        <v>181</v>
      </c>
    </row>
    <row r="12" spans="1:14" x14ac:dyDescent="0.3">
      <c r="A12" s="439"/>
      <c r="B12" s="440"/>
      <c r="C12" s="441"/>
      <c r="D12" s="442"/>
      <c r="E12" s="443"/>
      <c r="F12" s="442"/>
      <c r="G12" s="443"/>
      <c r="H12" s="442"/>
      <c r="I12" s="443"/>
      <c r="J12" s="442"/>
      <c r="K12" s="443"/>
      <c r="L12" s="444"/>
      <c r="M12" s="443"/>
      <c r="N12" s="445"/>
    </row>
    <row r="13" spans="1:14" x14ac:dyDescent="0.3">
      <c r="A13" s="71" t="s">
        <v>307</v>
      </c>
      <c r="B13" s="71"/>
      <c r="C13" s="71"/>
    </row>
    <row r="14" spans="1:14" x14ac:dyDescent="0.3">
      <c r="A14" s="88" t="s">
        <v>308</v>
      </c>
    </row>
    <row r="15" spans="1:14" x14ac:dyDescent="0.3">
      <c r="A15" s="88" t="s">
        <v>309</v>
      </c>
    </row>
    <row r="17" spans="10:10" x14ac:dyDescent="0.3">
      <c r="J17" s="364"/>
    </row>
  </sheetData>
  <mergeCells count="7">
    <mergeCell ref="D3:E3"/>
    <mergeCell ref="F3:G3"/>
    <mergeCell ref="H3:I3"/>
    <mergeCell ref="N3:N4"/>
    <mergeCell ref="B3:C3"/>
    <mergeCell ref="J3:K3"/>
    <mergeCell ref="L3:M3"/>
  </mergeCells>
  <hyperlinks>
    <hyperlink ref="A1" location="Inhoud!A1" display="Terug naar inhoud" xr:uid="{49BE9112-081E-4954-A693-EBC424F5C9DD}"/>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FBBB3-2192-49D8-A61F-8310D1918E51}">
  <sheetPr codeName="Blad19"/>
  <dimension ref="A1:G8"/>
  <sheetViews>
    <sheetView workbookViewId="0">
      <selection activeCell="A2" sqref="A2"/>
    </sheetView>
  </sheetViews>
  <sheetFormatPr defaultColWidth="9.109375" defaultRowHeight="14.4" x14ac:dyDescent="0.3"/>
  <cols>
    <col min="1" max="1" width="34.33203125" style="7" bestFit="1" customWidth="1"/>
    <col min="2" max="2" width="10.88671875" style="7" customWidth="1"/>
    <col min="3" max="3" width="11" style="7" customWidth="1"/>
    <col min="4" max="6" width="10.5546875" style="7" customWidth="1"/>
    <col min="7" max="7" width="10.88671875" style="7" customWidth="1"/>
    <col min="8" max="16384" width="9.109375" style="7"/>
  </cols>
  <sheetData>
    <row r="1" spans="1:7" x14ac:dyDescent="0.3">
      <c r="A1" s="375" t="s">
        <v>95</v>
      </c>
    </row>
    <row r="2" spans="1:7" x14ac:dyDescent="0.3">
      <c r="A2" s="8" t="s">
        <v>310</v>
      </c>
      <c r="B2" s="8"/>
    </row>
    <row r="3" spans="1:7" x14ac:dyDescent="0.3">
      <c r="A3" s="539" t="s">
        <v>311</v>
      </c>
      <c r="B3" s="539"/>
      <c r="C3" s="539"/>
      <c r="D3" s="539"/>
      <c r="E3" s="539"/>
      <c r="F3" s="539"/>
      <c r="G3" s="539"/>
    </row>
    <row r="4" spans="1:7" ht="15" customHeight="1" x14ac:dyDescent="0.3">
      <c r="A4" s="28" t="s">
        <v>312</v>
      </c>
      <c r="B4" s="247" t="s">
        <v>97</v>
      </c>
      <c r="C4" s="175" t="s">
        <v>98</v>
      </c>
      <c r="D4" s="31" t="s">
        <v>99</v>
      </c>
      <c r="E4" s="32" t="s">
        <v>100</v>
      </c>
      <c r="F4" s="32" t="s">
        <v>101</v>
      </c>
      <c r="G4" s="32" t="s">
        <v>102</v>
      </c>
    </row>
    <row r="5" spans="1:7" x14ac:dyDescent="0.3">
      <c r="A5" s="29" t="s">
        <v>313</v>
      </c>
      <c r="B5" s="170">
        <v>301</v>
      </c>
      <c r="C5" s="176">
        <v>307</v>
      </c>
      <c r="D5" s="30">
        <v>307</v>
      </c>
      <c r="E5" s="33">
        <v>314</v>
      </c>
      <c r="F5" s="33">
        <v>318</v>
      </c>
      <c r="G5" s="33">
        <v>320</v>
      </c>
    </row>
    <row r="6" spans="1:7" x14ac:dyDescent="0.3">
      <c r="A6" s="29" t="s">
        <v>314</v>
      </c>
      <c r="B6" s="170">
        <v>126</v>
      </c>
      <c r="C6" s="176">
        <v>129</v>
      </c>
      <c r="D6" s="30">
        <v>129</v>
      </c>
      <c r="E6" s="33">
        <v>132</v>
      </c>
      <c r="F6" s="33">
        <v>134</v>
      </c>
      <c r="G6" s="33">
        <v>135</v>
      </c>
    </row>
    <row r="7" spans="1:7" x14ac:dyDescent="0.3">
      <c r="A7" s="29" t="s">
        <v>315</v>
      </c>
      <c r="B7" s="170">
        <v>63</v>
      </c>
      <c r="C7" s="176">
        <v>65</v>
      </c>
      <c r="D7" s="30">
        <v>65</v>
      </c>
      <c r="E7" s="33">
        <v>67</v>
      </c>
      <c r="F7" s="33">
        <v>68</v>
      </c>
      <c r="G7" s="33">
        <v>69</v>
      </c>
    </row>
    <row r="8" spans="1:7" x14ac:dyDescent="0.3">
      <c r="A8" s="29" t="s">
        <v>316</v>
      </c>
      <c r="B8" s="170">
        <v>41</v>
      </c>
      <c r="C8" s="176">
        <v>42</v>
      </c>
      <c r="D8" s="30">
        <v>42</v>
      </c>
      <c r="E8" s="33">
        <v>44</v>
      </c>
      <c r="F8" s="33">
        <v>44</v>
      </c>
      <c r="G8" s="33">
        <v>45</v>
      </c>
    </row>
  </sheetData>
  <mergeCells count="1">
    <mergeCell ref="A3:G3"/>
  </mergeCells>
  <hyperlinks>
    <hyperlink ref="A1" location="Inhoud!A1" display="Terug naar inhoud" xr:uid="{B19A5DA0-8118-4B01-8298-F0BA2D1915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1C96E-CD95-4B2B-A90E-EA429270C31D}">
  <sheetPr codeName="Blad2"/>
  <dimension ref="A1:J14"/>
  <sheetViews>
    <sheetView workbookViewId="0"/>
  </sheetViews>
  <sheetFormatPr defaultColWidth="9.109375" defaultRowHeight="14.4" x14ac:dyDescent="0.3"/>
  <cols>
    <col min="1" max="1" width="32" style="7" customWidth="1"/>
    <col min="2" max="2" width="10.6640625" style="7" customWidth="1"/>
    <col min="3" max="4" width="10.33203125" style="7" customWidth="1"/>
    <col min="5" max="7" width="10.44140625" style="7" customWidth="1"/>
    <col min="8" max="8" width="19.109375" style="7" customWidth="1"/>
    <col min="9" max="9" width="11" style="7" customWidth="1"/>
    <col min="10" max="16384" width="9.109375" style="7"/>
  </cols>
  <sheetData>
    <row r="1" spans="1:10" x14ac:dyDescent="0.3">
      <c r="A1" s="375" t="s">
        <v>95</v>
      </c>
    </row>
    <row r="2" spans="1:10" x14ac:dyDescent="0.3">
      <c r="A2" s="8" t="s">
        <v>96</v>
      </c>
      <c r="B2" s="8"/>
    </row>
    <row r="3" spans="1:10" ht="28.8" x14ac:dyDescent="0.3">
      <c r="A3" s="9" t="s">
        <v>2</v>
      </c>
      <c r="B3" s="234" t="s">
        <v>97</v>
      </c>
      <c r="C3" s="237" t="s">
        <v>98</v>
      </c>
      <c r="D3" s="234" t="s">
        <v>99</v>
      </c>
      <c r="E3" s="239" t="s">
        <v>100</v>
      </c>
      <c r="F3" s="239" t="s">
        <v>101</v>
      </c>
      <c r="G3" s="25" t="s">
        <v>102</v>
      </c>
      <c r="H3" s="239" t="s">
        <v>103</v>
      </c>
    </row>
    <row r="4" spans="1:10" x14ac:dyDescent="0.3">
      <c r="A4" s="11" t="s">
        <v>104</v>
      </c>
      <c r="B4" s="12">
        <v>266379</v>
      </c>
      <c r="C4" s="129">
        <v>263789</v>
      </c>
      <c r="D4" s="12">
        <v>262435</v>
      </c>
      <c r="E4" s="14">
        <v>261192</v>
      </c>
      <c r="F4" s="14">
        <v>257625</v>
      </c>
      <c r="G4" s="14">
        <v>256418</v>
      </c>
      <c r="H4" s="15">
        <f>(G4-F4)/F4</f>
        <v>-4.6851043182920913E-3</v>
      </c>
      <c r="J4" s="108"/>
    </row>
    <row r="5" spans="1:10" x14ac:dyDescent="0.3">
      <c r="A5" s="11" t="s">
        <v>105</v>
      </c>
      <c r="B5" s="12">
        <v>1967</v>
      </c>
      <c r="C5" s="129">
        <v>1986</v>
      </c>
      <c r="D5" s="12">
        <v>2140</v>
      </c>
      <c r="E5" s="14">
        <v>2325</v>
      </c>
      <c r="F5" s="14">
        <v>2406</v>
      </c>
      <c r="G5" s="14">
        <v>2650</v>
      </c>
      <c r="H5" s="15">
        <f t="shared" ref="H5:H13" si="0">(G5-F5)/F5</f>
        <v>0.10141313383208644</v>
      </c>
      <c r="J5" s="108"/>
    </row>
    <row r="6" spans="1:10" x14ac:dyDescent="0.3">
      <c r="A6" s="11" t="s">
        <v>106</v>
      </c>
      <c r="B6" s="12">
        <v>432291</v>
      </c>
      <c r="C6" s="129">
        <v>438779</v>
      </c>
      <c r="D6" s="12">
        <v>442275</v>
      </c>
      <c r="E6" s="14">
        <v>442961</v>
      </c>
      <c r="F6" s="14">
        <v>441026</v>
      </c>
      <c r="G6" s="14">
        <v>437569</v>
      </c>
      <c r="H6" s="15">
        <f t="shared" si="0"/>
        <v>-7.8385401314208236E-3</v>
      </c>
      <c r="J6" s="108"/>
    </row>
    <row r="7" spans="1:10" x14ac:dyDescent="0.3">
      <c r="A7" s="11" t="s">
        <v>107</v>
      </c>
      <c r="B7" s="12">
        <v>24645</v>
      </c>
      <c r="C7" s="129">
        <v>24380</v>
      </c>
      <c r="D7" s="12">
        <v>24784</v>
      </c>
      <c r="E7" s="14">
        <v>25567</v>
      </c>
      <c r="F7" s="14">
        <v>26110</v>
      </c>
      <c r="G7" s="14">
        <v>26671</v>
      </c>
      <c r="H7" s="15">
        <f t="shared" si="0"/>
        <v>2.1486020681731138E-2</v>
      </c>
      <c r="J7" s="108"/>
    </row>
    <row r="8" spans="1:10" x14ac:dyDescent="0.3">
      <c r="A8" s="11" t="s">
        <v>108</v>
      </c>
      <c r="B8" s="12">
        <v>419207</v>
      </c>
      <c r="C8" s="129">
        <v>421975</v>
      </c>
      <c r="D8" s="12">
        <v>427456</v>
      </c>
      <c r="E8" s="14">
        <v>434435</v>
      </c>
      <c r="F8" s="14">
        <v>445153</v>
      </c>
      <c r="G8" s="14">
        <v>451889</v>
      </c>
      <c r="H8" s="15">
        <f t="shared" si="0"/>
        <v>1.5131876006676356E-2</v>
      </c>
      <c r="J8" s="108"/>
    </row>
    <row r="9" spans="1:10" x14ac:dyDescent="0.3">
      <c r="A9" s="11" t="s">
        <v>109</v>
      </c>
      <c r="B9" s="12">
        <v>20130</v>
      </c>
      <c r="C9" s="129">
        <v>20331</v>
      </c>
      <c r="D9" s="12">
        <v>20544</v>
      </c>
      <c r="E9" s="14">
        <v>21095</v>
      </c>
      <c r="F9" s="14">
        <v>22071</v>
      </c>
      <c r="G9" s="14">
        <v>22819</v>
      </c>
      <c r="H9" s="15">
        <f>(G10-F10)/F10</f>
        <v>9.1354723707664891E-3</v>
      </c>
      <c r="J9" s="108"/>
    </row>
    <row r="10" spans="1:10" x14ac:dyDescent="0.3">
      <c r="A10" s="11" t="s">
        <v>110</v>
      </c>
      <c r="B10" s="12">
        <v>8864</v>
      </c>
      <c r="C10" s="129">
        <v>8980</v>
      </c>
      <c r="D10" s="12">
        <v>8854</v>
      </c>
      <c r="E10" s="14">
        <v>8975</v>
      </c>
      <c r="F10" s="14">
        <v>8976</v>
      </c>
      <c r="G10" s="14">
        <v>9058</v>
      </c>
      <c r="H10" s="15">
        <f>(G11-F11)/F11</f>
        <v>1.4354635196318563E-2</v>
      </c>
      <c r="J10" s="108"/>
    </row>
    <row r="11" spans="1:10" x14ac:dyDescent="0.3">
      <c r="A11" s="11" t="s">
        <v>111</v>
      </c>
      <c r="B11" s="12">
        <v>178624</v>
      </c>
      <c r="C11" s="129">
        <v>180402</v>
      </c>
      <c r="D11" s="12">
        <v>198737</v>
      </c>
      <c r="E11" s="14">
        <v>209640</v>
      </c>
      <c r="F11" s="14">
        <v>202095</v>
      </c>
      <c r="G11" s="14">
        <v>204996</v>
      </c>
      <c r="H11" s="15">
        <f t="shared" si="0"/>
        <v>1.4354635196318563E-2</v>
      </c>
      <c r="J11" s="108"/>
    </row>
    <row r="12" spans="1:10" x14ac:dyDescent="0.3">
      <c r="A12" s="320" t="s">
        <v>112</v>
      </c>
      <c r="B12" s="321">
        <v>7062</v>
      </c>
      <c r="C12" s="322">
        <v>6706</v>
      </c>
      <c r="D12" s="321">
        <v>6589</v>
      </c>
      <c r="E12" s="323">
        <v>6444</v>
      </c>
      <c r="F12" s="323">
        <v>7117</v>
      </c>
      <c r="G12" s="14">
        <v>6543</v>
      </c>
      <c r="H12" s="15">
        <f t="shared" si="0"/>
        <v>-8.0651960095545872E-2</v>
      </c>
      <c r="J12" s="108"/>
    </row>
    <row r="13" spans="1:10" x14ac:dyDescent="0.3">
      <c r="A13" s="319" t="s">
        <v>113</v>
      </c>
      <c r="B13" s="324">
        <f t="shared" ref="B13:G13" si="1">SUM(B4:B12)</f>
        <v>1359169</v>
      </c>
      <c r="C13" s="324">
        <f t="shared" si="1"/>
        <v>1367328</v>
      </c>
      <c r="D13" s="324">
        <f t="shared" si="1"/>
        <v>1393814</v>
      </c>
      <c r="E13" s="325">
        <f t="shared" si="1"/>
        <v>1412634</v>
      </c>
      <c r="F13" s="325">
        <f t="shared" si="1"/>
        <v>1412579</v>
      </c>
      <c r="G13" s="325">
        <f t="shared" si="1"/>
        <v>1418613</v>
      </c>
      <c r="H13" s="416">
        <f t="shared" si="0"/>
        <v>4.271619498803253E-3</v>
      </c>
      <c r="J13" s="108"/>
    </row>
    <row r="14" spans="1:10" s="27" customFormat="1" ht="13.8" x14ac:dyDescent="0.3">
      <c r="A14" s="93" t="s">
        <v>114</v>
      </c>
    </row>
  </sheetData>
  <hyperlinks>
    <hyperlink ref="A1" location="Inhoud!A1" display="Terug naar inhoud" xr:uid="{BC5B3882-2E0F-4041-9A39-8B235DF4FD8A}"/>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BC3E6-AD5D-4C1B-9178-DA9D94A1ADB4}">
  <sheetPr codeName="Blad20"/>
  <dimension ref="A1:P8"/>
  <sheetViews>
    <sheetView workbookViewId="0">
      <selection activeCell="A2" sqref="A2"/>
    </sheetView>
  </sheetViews>
  <sheetFormatPr defaultColWidth="9.109375" defaultRowHeight="14.4" x14ac:dyDescent="0.3"/>
  <cols>
    <col min="1" max="1" width="10.6640625" style="34" customWidth="1"/>
    <col min="2" max="2" width="10.109375" style="34" bestFit="1" customWidth="1"/>
    <col min="3" max="3" width="7.88671875" style="34" bestFit="1" customWidth="1"/>
    <col min="4" max="4" width="12" style="34" customWidth="1"/>
    <col min="5" max="5" width="7.88671875" style="61" bestFit="1" customWidth="1"/>
    <col min="6" max="6" width="10.109375" style="34" bestFit="1" customWidth="1"/>
    <col min="7" max="7" width="7.88671875" style="61" bestFit="1" customWidth="1"/>
    <col min="8" max="8" width="11.44140625" style="34" customWidth="1"/>
    <col min="9" max="9" width="7.88671875" style="61" bestFit="1" customWidth="1"/>
    <col min="10" max="10" width="10.88671875" style="61" customWidth="1"/>
    <col min="11" max="11" width="7.88671875" style="61" customWidth="1"/>
    <col min="12" max="12" width="13.109375" style="61" customWidth="1"/>
    <col min="13" max="13" width="7.88671875" style="61" customWidth="1"/>
    <col min="14" max="14" width="16" style="34" customWidth="1"/>
    <col min="15" max="16384" width="9.109375" style="34"/>
  </cols>
  <sheetData>
    <row r="1" spans="1:16" x14ac:dyDescent="0.3">
      <c r="A1" s="375" t="s">
        <v>95</v>
      </c>
    </row>
    <row r="2" spans="1:16" x14ac:dyDescent="0.3">
      <c r="A2" s="60" t="s">
        <v>317</v>
      </c>
      <c r="B2" s="60"/>
      <c r="C2" s="60"/>
    </row>
    <row r="3" spans="1:16" ht="15" customHeight="1" x14ac:dyDescent="0.3">
      <c r="A3" s="249" t="s">
        <v>300</v>
      </c>
      <c r="B3" s="540" t="s">
        <v>97</v>
      </c>
      <c r="C3" s="541"/>
      <c r="D3" s="490" t="s">
        <v>98</v>
      </c>
      <c r="E3" s="490"/>
      <c r="F3" s="490" t="s">
        <v>99</v>
      </c>
      <c r="G3" s="490"/>
      <c r="H3" s="490" t="s">
        <v>100</v>
      </c>
      <c r="I3" s="490"/>
      <c r="J3" s="490" t="s">
        <v>101</v>
      </c>
      <c r="K3" s="490"/>
      <c r="L3" s="490" t="s">
        <v>102</v>
      </c>
      <c r="M3" s="490"/>
      <c r="N3" s="499" t="s">
        <v>267</v>
      </c>
    </row>
    <row r="4" spans="1:16" ht="28.8" x14ac:dyDescent="0.3">
      <c r="A4" s="62"/>
      <c r="B4" s="63" t="s">
        <v>155</v>
      </c>
      <c r="C4" s="63" t="s">
        <v>118</v>
      </c>
      <c r="D4" s="63" t="s">
        <v>155</v>
      </c>
      <c r="E4" s="63" t="s">
        <v>118</v>
      </c>
      <c r="F4" s="63" t="s">
        <v>155</v>
      </c>
      <c r="G4" s="63" t="s">
        <v>118</v>
      </c>
      <c r="H4" s="63" t="s">
        <v>155</v>
      </c>
      <c r="I4" s="63" t="s">
        <v>118</v>
      </c>
      <c r="J4" s="63" t="s">
        <v>155</v>
      </c>
      <c r="K4" s="63" t="s">
        <v>118</v>
      </c>
      <c r="L4" s="63" t="s">
        <v>155</v>
      </c>
      <c r="M4" s="63" t="s">
        <v>118</v>
      </c>
      <c r="N4" s="500"/>
    </row>
    <row r="5" spans="1:16" x14ac:dyDescent="0.3">
      <c r="A5" s="62" t="s">
        <v>170</v>
      </c>
      <c r="B5" s="165">
        <v>1732938</v>
      </c>
      <c r="C5" s="177">
        <v>15</v>
      </c>
      <c r="D5" s="160">
        <v>1827860</v>
      </c>
      <c r="E5" s="64">
        <v>15</v>
      </c>
      <c r="F5" s="65">
        <v>1908731</v>
      </c>
      <c r="G5" s="64">
        <v>15</v>
      </c>
      <c r="H5" s="65">
        <v>2010964</v>
      </c>
      <c r="I5" s="64">
        <v>15</v>
      </c>
      <c r="J5" s="65">
        <v>1978188</v>
      </c>
      <c r="K5" s="64">
        <v>15</v>
      </c>
      <c r="L5" s="65">
        <v>2068084</v>
      </c>
      <c r="M5" s="64">
        <v>15</v>
      </c>
      <c r="N5" s="244">
        <f>(L5-J5)/J5</f>
        <v>4.5443607988725036E-2</v>
      </c>
      <c r="P5" s="109"/>
    </row>
    <row r="6" spans="1:16" x14ac:dyDescent="0.3">
      <c r="A6" s="62" t="s">
        <v>157</v>
      </c>
      <c r="B6" s="165">
        <v>279640</v>
      </c>
      <c r="C6" s="177">
        <v>4</v>
      </c>
      <c r="D6" s="160">
        <v>284361</v>
      </c>
      <c r="E6" s="64">
        <v>4</v>
      </c>
      <c r="F6" s="65">
        <v>285862</v>
      </c>
      <c r="G6" s="64">
        <v>4</v>
      </c>
      <c r="H6" s="65">
        <v>584398</v>
      </c>
      <c r="I6" s="64">
        <v>5</v>
      </c>
      <c r="J6" s="65">
        <v>590900</v>
      </c>
      <c r="K6" s="64">
        <v>5</v>
      </c>
      <c r="L6" s="65">
        <v>606938</v>
      </c>
      <c r="M6" s="64">
        <v>5</v>
      </c>
      <c r="N6" s="244">
        <f t="shared" ref="N6:N8" si="0">(L6-J6)/J6</f>
        <v>2.7141648333051278E-2</v>
      </c>
      <c r="P6" s="109"/>
    </row>
    <row r="7" spans="1:16" x14ac:dyDescent="0.3">
      <c r="A7" s="62" t="s">
        <v>158</v>
      </c>
      <c r="B7" s="165">
        <v>17634813</v>
      </c>
      <c r="C7" s="177">
        <v>149</v>
      </c>
      <c r="D7" s="160">
        <v>17622727</v>
      </c>
      <c r="E7" s="64">
        <v>149</v>
      </c>
      <c r="F7" s="65">
        <v>18972740</v>
      </c>
      <c r="G7" s="64">
        <v>149</v>
      </c>
      <c r="H7" s="65">
        <v>19773956</v>
      </c>
      <c r="I7" s="64">
        <v>148</v>
      </c>
      <c r="J7" s="65">
        <v>18993968</v>
      </c>
      <c r="K7" s="64">
        <v>147</v>
      </c>
      <c r="L7" s="65">
        <v>19877509</v>
      </c>
      <c r="M7" s="64">
        <v>145</v>
      </c>
      <c r="N7" s="244">
        <f t="shared" si="0"/>
        <v>4.6516925794546984E-2</v>
      </c>
      <c r="P7" s="109"/>
    </row>
    <row r="8" spans="1:16" x14ac:dyDescent="0.3">
      <c r="A8" s="249" t="s">
        <v>298</v>
      </c>
      <c r="B8" s="166">
        <v>19647391</v>
      </c>
      <c r="C8" s="178">
        <v>168</v>
      </c>
      <c r="D8" s="161">
        <v>19734948</v>
      </c>
      <c r="E8" s="230">
        <v>168</v>
      </c>
      <c r="F8" s="66">
        <v>21167333</v>
      </c>
      <c r="G8" s="230">
        <v>168</v>
      </c>
      <c r="H8" s="66">
        <v>22369318</v>
      </c>
      <c r="I8" s="230">
        <v>168</v>
      </c>
      <c r="J8" s="66">
        <f>SUM(J5:J7)</f>
        <v>21563056</v>
      </c>
      <c r="K8" s="230">
        <f>SUM(K5:K7)</f>
        <v>167</v>
      </c>
      <c r="L8" s="66">
        <f>SUM(L5:L7)</f>
        <v>22552531</v>
      </c>
      <c r="M8" s="230">
        <f>SUM(M5:M7)</f>
        <v>165</v>
      </c>
      <c r="N8" s="67">
        <f t="shared" si="0"/>
        <v>4.5887512419389903E-2</v>
      </c>
      <c r="P8" s="109"/>
    </row>
  </sheetData>
  <mergeCells count="7">
    <mergeCell ref="D3:E3"/>
    <mergeCell ref="F3:G3"/>
    <mergeCell ref="H3:I3"/>
    <mergeCell ref="N3:N4"/>
    <mergeCell ref="B3:C3"/>
    <mergeCell ref="J3:K3"/>
    <mergeCell ref="L3:M3"/>
  </mergeCells>
  <hyperlinks>
    <hyperlink ref="A1" location="Inhoud!A1" display="Terug naar inhoud" xr:uid="{FC67277C-79AB-4ECD-9849-097A29AE8D1B}"/>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A9250-E684-4025-AA31-E44EF475F1C0}">
  <sheetPr codeName="Blad21"/>
  <dimension ref="A1:Q13"/>
  <sheetViews>
    <sheetView workbookViewId="0">
      <selection activeCell="A13" sqref="A13"/>
    </sheetView>
  </sheetViews>
  <sheetFormatPr defaultColWidth="9.109375" defaultRowHeight="14.4" x14ac:dyDescent="0.3"/>
  <cols>
    <col min="1" max="1" width="24.33203125" style="52" customWidth="1"/>
    <col min="2" max="2" width="14.44140625" style="52" customWidth="1"/>
    <col min="3" max="3" width="4.88671875" style="52" customWidth="1"/>
    <col min="4" max="4" width="10.88671875" style="34" bestFit="1" customWidth="1"/>
    <col min="5" max="5" width="4.88671875" style="52" customWidth="1"/>
    <col min="6" max="6" width="10.88671875" style="34" bestFit="1" customWidth="1"/>
    <col min="7" max="7" width="4.88671875" style="52" customWidth="1"/>
    <col min="8" max="8" width="10.88671875" style="34" bestFit="1" customWidth="1"/>
    <col min="9" max="9" width="4.88671875" style="52" customWidth="1"/>
    <col min="10" max="10" width="10.88671875" style="52" bestFit="1" customWidth="1"/>
    <col min="11" max="11" width="4.88671875" style="52" customWidth="1"/>
    <col min="12" max="12" width="11.109375" style="52" customWidth="1"/>
    <col min="13" max="13" width="4.88671875" style="52" customWidth="1"/>
    <col min="14" max="14" width="13.6640625" style="34" customWidth="1"/>
    <col min="15" max="16384" width="9.109375" style="34"/>
  </cols>
  <sheetData>
    <row r="1" spans="1:17" x14ac:dyDescent="0.3">
      <c r="A1" s="375" t="s">
        <v>95</v>
      </c>
    </row>
    <row r="2" spans="1:17" x14ac:dyDescent="0.3">
      <c r="A2" s="74" t="s">
        <v>318</v>
      </c>
      <c r="B2" s="74"/>
      <c r="C2" s="74"/>
    </row>
    <row r="3" spans="1:17" x14ac:dyDescent="0.3">
      <c r="A3" s="128" t="s">
        <v>297</v>
      </c>
      <c r="B3" s="542" t="s">
        <v>97</v>
      </c>
      <c r="C3" s="543"/>
      <c r="D3" s="487" t="s">
        <v>98</v>
      </c>
      <c r="E3" s="484"/>
      <c r="F3" s="482" t="s">
        <v>99</v>
      </c>
      <c r="G3" s="482"/>
      <c r="H3" s="482" t="s">
        <v>100</v>
      </c>
      <c r="I3" s="482"/>
      <c r="J3" s="482" t="s">
        <v>101</v>
      </c>
      <c r="K3" s="482"/>
      <c r="L3" s="482" t="s">
        <v>102</v>
      </c>
      <c r="M3" s="482"/>
      <c r="N3" s="490" t="s">
        <v>116</v>
      </c>
    </row>
    <row r="4" spans="1:17" ht="54.6" x14ac:dyDescent="0.3">
      <c r="A4" s="101"/>
      <c r="B4" s="235" t="s">
        <v>155</v>
      </c>
      <c r="C4" s="179" t="s">
        <v>319</v>
      </c>
      <c r="D4" s="229" t="s">
        <v>155</v>
      </c>
      <c r="E4" s="73" t="s">
        <v>319</v>
      </c>
      <c r="F4" s="228" t="s">
        <v>155</v>
      </c>
      <c r="G4" s="73" t="s">
        <v>319</v>
      </c>
      <c r="H4" s="228" t="s">
        <v>155</v>
      </c>
      <c r="I4" s="73" t="s">
        <v>319</v>
      </c>
      <c r="J4" s="228" t="s">
        <v>155</v>
      </c>
      <c r="K4" s="73" t="s">
        <v>319</v>
      </c>
      <c r="L4" s="228" t="s">
        <v>155</v>
      </c>
      <c r="M4" s="73" t="s">
        <v>319</v>
      </c>
      <c r="N4" s="490"/>
    </row>
    <row r="5" spans="1:17" x14ac:dyDescent="0.3">
      <c r="A5" s="62" t="s">
        <v>320</v>
      </c>
      <c r="B5" s="180">
        <v>3801614.3</v>
      </c>
      <c r="C5" s="123">
        <v>8</v>
      </c>
      <c r="D5" s="241">
        <v>3827364</v>
      </c>
      <c r="E5" s="242">
        <v>8</v>
      </c>
      <c r="F5" s="243">
        <v>3851013</v>
      </c>
      <c r="G5" s="242">
        <v>8</v>
      </c>
      <c r="H5" s="243">
        <v>3303530</v>
      </c>
      <c r="I5" s="242">
        <v>8</v>
      </c>
      <c r="J5" s="243">
        <v>3323887</v>
      </c>
      <c r="K5" s="242">
        <v>8</v>
      </c>
      <c r="L5" s="243">
        <v>3965169</v>
      </c>
      <c r="M5" s="242">
        <v>8</v>
      </c>
      <c r="N5" s="244">
        <f>(L5-J5)/J5</f>
        <v>0.19293134814751525</v>
      </c>
    </row>
    <row r="6" spans="1:17" ht="43.2" x14ac:dyDescent="0.3">
      <c r="A6" s="62" t="s">
        <v>321</v>
      </c>
      <c r="B6" s="180">
        <v>86800.49</v>
      </c>
      <c r="C6" s="123">
        <v>8</v>
      </c>
      <c r="D6" s="241">
        <v>86800</v>
      </c>
      <c r="E6" s="242">
        <v>8</v>
      </c>
      <c r="F6" s="243">
        <v>86800</v>
      </c>
      <c r="G6" s="242">
        <v>8</v>
      </c>
      <c r="H6" s="243">
        <v>86800</v>
      </c>
      <c r="I6" s="242">
        <v>8</v>
      </c>
      <c r="J6" s="243">
        <v>86800</v>
      </c>
      <c r="K6" s="242">
        <v>8</v>
      </c>
      <c r="L6" s="243">
        <v>86800</v>
      </c>
      <c r="M6" s="242">
        <v>8</v>
      </c>
      <c r="N6" s="244">
        <f t="shared" ref="N6:N11" si="0">(L6-J6)/J6</f>
        <v>0</v>
      </c>
    </row>
    <row r="7" spans="1:17" ht="43.2" x14ac:dyDescent="0.3">
      <c r="A7" s="62" t="s">
        <v>650</v>
      </c>
      <c r="B7" s="180">
        <v>5731000</v>
      </c>
      <c r="C7" s="123">
        <v>4</v>
      </c>
      <c r="D7" s="241">
        <v>5731000</v>
      </c>
      <c r="E7" s="242">
        <v>4</v>
      </c>
      <c r="F7" s="243">
        <v>4584000</v>
      </c>
      <c r="G7" s="242">
        <v>4</v>
      </c>
      <c r="H7" s="243">
        <v>4584000</v>
      </c>
      <c r="I7" s="242">
        <v>4</v>
      </c>
      <c r="J7" s="243">
        <v>1606000</v>
      </c>
      <c r="K7" s="242">
        <v>4</v>
      </c>
      <c r="L7" s="242" t="s">
        <v>181</v>
      </c>
      <c r="M7" s="242" t="s">
        <v>181</v>
      </c>
      <c r="N7" s="244" t="s">
        <v>181</v>
      </c>
      <c r="Q7" s="282"/>
    </row>
    <row r="8" spans="1:17" ht="15" customHeight="1" x14ac:dyDescent="0.3">
      <c r="A8" s="62" t="s">
        <v>322</v>
      </c>
      <c r="B8" s="123">
        <v>609000</v>
      </c>
      <c r="C8" s="123">
        <v>4</v>
      </c>
      <c r="D8" s="123">
        <v>609000</v>
      </c>
      <c r="E8" s="243">
        <v>4</v>
      </c>
      <c r="F8" s="123">
        <v>609000</v>
      </c>
      <c r="G8" s="243">
        <v>4</v>
      </c>
      <c r="H8" s="123">
        <v>609000</v>
      </c>
      <c r="I8" s="243">
        <v>4</v>
      </c>
      <c r="J8" s="123">
        <v>609000</v>
      </c>
      <c r="K8" s="243">
        <v>4</v>
      </c>
      <c r="L8" s="437">
        <v>609000</v>
      </c>
      <c r="M8" s="242">
        <v>3</v>
      </c>
      <c r="N8" s="244">
        <f t="shared" si="0"/>
        <v>0</v>
      </c>
    </row>
    <row r="9" spans="1:17" ht="43.2" x14ac:dyDescent="0.3">
      <c r="A9" s="62" t="s">
        <v>323</v>
      </c>
      <c r="B9" s="180" t="s">
        <v>181</v>
      </c>
      <c r="C9" s="180" t="s">
        <v>181</v>
      </c>
      <c r="D9" s="180" t="s">
        <v>181</v>
      </c>
      <c r="E9" s="180" t="s">
        <v>181</v>
      </c>
      <c r="F9" s="180" t="s">
        <v>181</v>
      </c>
      <c r="G9" s="180" t="s">
        <v>181</v>
      </c>
      <c r="H9" s="180" t="s">
        <v>181</v>
      </c>
      <c r="I9" s="180" t="s">
        <v>181</v>
      </c>
      <c r="J9" s="123">
        <v>3500000</v>
      </c>
      <c r="K9" s="242">
        <v>8</v>
      </c>
      <c r="L9" s="437">
        <v>3500000</v>
      </c>
      <c r="M9" s="242">
        <v>8</v>
      </c>
      <c r="N9" s="244">
        <f t="shared" si="0"/>
        <v>0</v>
      </c>
    </row>
    <row r="10" spans="1:17" ht="43.2" x14ac:dyDescent="0.3">
      <c r="A10" s="62" t="s">
        <v>324</v>
      </c>
      <c r="B10" s="365"/>
      <c r="C10" s="365"/>
      <c r="D10" s="386"/>
      <c r="E10" s="365"/>
      <c r="F10" s="365"/>
      <c r="G10" s="365"/>
      <c r="H10" s="365"/>
      <c r="I10" s="365"/>
      <c r="J10" s="366"/>
      <c r="K10" s="368"/>
      <c r="L10" s="446">
        <v>1500000</v>
      </c>
      <c r="M10" s="368">
        <v>8</v>
      </c>
      <c r="N10" s="244"/>
    </row>
    <row r="11" spans="1:17" x14ac:dyDescent="0.3">
      <c r="A11" s="184" t="s">
        <v>220</v>
      </c>
      <c r="B11" s="365">
        <v>1221000</v>
      </c>
      <c r="C11" s="366">
        <v>8</v>
      </c>
      <c r="D11" s="367">
        <v>1221000</v>
      </c>
      <c r="E11" s="368">
        <v>8</v>
      </c>
      <c r="F11" s="350">
        <v>1221000</v>
      </c>
      <c r="G11" s="368">
        <v>8</v>
      </c>
      <c r="H11" s="350">
        <v>1148000</v>
      </c>
      <c r="I11" s="368">
        <v>8</v>
      </c>
      <c r="J11" s="350">
        <v>1148000</v>
      </c>
      <c r="K11" s="368">
        <v>8</v>
      </c>
      <c r="L11" s="350">
        <v>1148000</v>
      </c>
      <c r="M11" s="368">
        <v>8</v>
      </c>
      <c r="N11" s="244">
        <f t="shared" si="0"/>
        <v>0</v>
      </c>
    </row>
    <row r="12" spans="1:17" x14ac:dyDescent="0.3">
      <c r="A12" s="369" t="s">
        <v>227</v>
      </c>
      <c r="B12" s="370">
        <f>SUM(B5:B11)</f>
        <v>11449414.789999999</v>
      </c>
      <c r="C12" s="369"/>
      <c r="D12" s="344">
        <f>SUM(D5:D11)</f>
        <v>11475164</v>
      </c>
      <c r="E12" s="369"/>
      <c r="F12" s="344">
        <f>SUM(F5:F11)</f>
        <v>10351813</v>
      </c>
      <c r="G12" s="369"/>
      <c r="H12" s="344">
        <f>SUM(H5:H11)</f>
        <v>9731330</v>
      </c>
      <c r="I12" s="369"/>
      <c r="J12" s="371">
        <f>SUM(J5:J11)</f>
        <v>10273687</v>
      </c>
      <c r="K12" s="371"/>
      <c r="L12" s="371">
        <f>SUM(L5:L11)</f>
        <v>10808969</v>
      </c>
      <c r="M12" s="369"/>
      <c r="N12" s="67">
        <f>(L12-J12)/J12</f>
        <v>5.2102229705849518E-2</v>
      </c>
    </row>
    <row r="13" spans="1:17" x14ac:dyDescent="0.3">
      <c r="A13" s="467" t="s">
        <v>651</v>
      </c>
    </row>
  </sheetData>
  <mergeCells count="7">
    <mergeCell ref="F3:G3"/>
    <mergeCell ref="H3:I3"/>
    <mergeCell ref="N3:N4"/>
    <mergeCell ref="D3:E3"/>
    <mergeCell ref="B3:C3"/>
    <mergeCell ref="J3:K3"/>
    <mergeCell ref="L3:M3"/>
  </mergeCells>
  <hyperlinks>
    <hyperlink ref="A1" location="Inhoud!A1" display="Terug naar inhoud" xr:uid="{52761464-7080-4D17-BAC6-2996594BF2EC}"/>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99653-A9DB-45E0-BA55-DE643705AD57}">
  <sheetPr codeName="Blad22"/>
  <dimension ref="A1:N25"/>
  <sheetViews>
    <sheetView workbookViewId="0">
      <selection activeCell="A2" sqref="A2"/>
    </sheetView>
  </sheetViews>
  <sheetFormatPr defaultColWidth="9.109375" defaultRowHeight="14.4" x14ac:dyDescent="0.3"/>
  <cols>
    <col min="1" max="1" width="44.33203125" style="7" customWidth="1"/>
    <col min="2" max="2" width="10.109375" style="7" customWidth="1"/>
    <col min="3" max="3" width="13.88671875" style="7" customWidth="1"/>
    <col min="4" max="13" width="10.33203125" style="7" customWidth="1"/>
    <col min="14" max="14" width="15.6640625" style="7" customWidth="1"/>
    <col min="15" max="15" width="9.109375" style="7"/>
    <col min="16" max="16" width="19.88671875" style="7" customWidth="1"/>
    <col min="17" max="16384" width="9.109375" style="7"/>
  </cols>
  <sheetData>
    <row r="1" spans="1:14" x14ac:dyDescent="0.3">
      <c r="A1" s="375" t="s">
        <v>95</v>
      </c>
    </row>
    <row r="2" spans="1:14" s="34" customFormat="1" x14ac:dyDescent="0.3">
      <c r="A2" s="74" t="s">
        <v>325</v>
      </c>
      <c r="B2" s="74"/>
      <c r="C2" s="74"/>
      <c r="E2" s="52"/>
      <c r="G2" s="52"/>
      <c r="I2" s="52"/>
      <c r="J2" s="52"/>
      <c r="K2" s="52"/>
      <c r="L2" s="52"/>
      <c r="M2" s="52"/>
    </row>
    <row r="3" spans="1:14" x14ac:dyDescent="0.3">
      <c r="A3" s="544" t="s">
        <v>326</v>
      </c>
      <c r="B3" s="538" t="s">
        <v>327</v>
      </c>
      <c r="C3" s="538"/>
      <c r="D3" s="484" t="s">
        <v>98</v>
      </c>
      <c r="E3" s="482"/>
      <c r="F3" s="482" t="s">
        <v>99</v>
      </c>
      <c r="G3" s="482"/>
      <c r="H3" s="482" t="s">
        <v>100</v>
      </c>
      <c r="I3" s="482"/>
      <c r="J3" s="482" t="s">
        <v>101</v>
      </c>
      <c r="K3" s="482"/>
      <c r="L3" s="482" t="s">
        <v>102</v>
      </c>
      <c r="M3" s="482"/>
      <c r="N3" s="490" t="s">
        <v>116</v>
      </c>
    </row>
    <row r="4" spans="1:14" ht="28.8" x14ac:dyDescent="0.3">
      <c r="A4" s="544"/>
      <c r="B4" s="31" t="s">
        <v>328</v>
      </c>
      <c r="C4" s="31" t="s">
        <v>329</v>
      </c>
      <c r="D4" s="147" t="s">
        <v>330</v>
      </c>
      <c r="E4" s="230" t="s">
        <v>118</v>
      </c>
      <c r="F4" s="232" t="s">
        <v>330</v>
      </c>
      <c r="G4" s="230" t="s">
        <v>118</v>
      </c>
      <c r="H4" s="232" t="s">
        <v>330</v>
      </c>
      <c r="I4" s="230" t="s">
        <v>118</v>
      </c>
      <c r="J4" s="232" t="s">
        <v>330</v>
      </c>
      <c r="K4" s="230" t="s">
        <v>118</v>
      </c>
      <c r="L4" s="232" t="s">
        <v>330</v>
      </c>
      <c r="M4" s="230" t="s">
        <v>118</v>
      </c>
      <c r="N4" s="490"/>
    </row>
    <row r="5" spans="1:14" x14ac:dyDescent="0.3">
      <c r="A5" s="62" t="s">
        <v>331</v>
      </c>
      <c r="B5" s="165">
        <v>900487</v>
      </c>
      <c r="C5" s="165">
        <v>2418</v>
      </c>
      <c r="D5" s="241">
        <v>909973</v>
      </c>
      <c r="E5" s="243">
        <v>2428</v>
      </c>
      <c r="F5" s="243">
        <v>915511</v>
      </c>
      <c r="G5" s="243">
        <v>2445</v>
      </c>
      <c r="H5" s="243">
        <v>917712</v>
      </c>
      <c r="I5" s="243">
        <v>2462</v>
      </c>
      <c r="J5" s="243">
        <v>916839</v>
      </c>
      <c r="K5" s="243">
        <v>2493</v>
      </c>
      <c r="L5" s="243">
        <v>910636</v>
      </c>
      <c r="M5" s="243">
        <v>2502</v>
      </c>
      <c r="N5" s="406">
        <f>(L5-J5)/J5</f>
        <v>-6.7656371511246793E-3</v>
      </c>
    </row>
    <row r="6" spans="1:14" x14ac:dyDescent="0.3">
      <c r="A6" s="62" t="s">
        <v>332</v>
      </c>
      <c r="B6" s="165">
        <v>25141</v>
      </c>
      <c r="C6" s="165">
        <v>1841</v>
      </c>
      <c r="D6" s="241">
        <v>21803</v>
      </c>
      <c r="E6" s="243">
        <v>1781</v>
      </c>
      <c r="F6" s="243">
        <v>25322</v>
      </c>
      <c r="G6" s="243">
        <v>1871</v>
      </c>
      <c r="H6" s="243">
        <v>23940</v>
      </c>
      <c r="I6" s="243">
        <v>1842</v>
      </c>
      <c r="J6" s="243">
        <v>21541</v>
      </c>
      <c r="K6" s="243">
        <v>1804</v>
      </c>
      <c r="L6" s="243">
        <v>25822</v>
      </c>
      <c r="M6" s="243">
        <v>1995</v>
      </c>
      <c r="N6" s="406">
        <f t="shared" ref="N6:N22" si="0">(L6-J6)/J6</f>
        <v>0.19873729167633813</v>
      </c>
    </row>
    <row r="7" spans="1:14" x14ac:dyDescent="0.3">
      <c r="A7" s="62" t="s">
        <v>333</v>
      </c>
      <c r="B7" s="165">
        <v>3366</v>
      </c>
      <c r="C7" s="165">
        <v>167</v>
      </c>
      <c r="D7" s="241">
        <v>2877</v>
      </c>
      <c r="E7" s="242">
        <v>152</v>
      </c>
      <c r="F7" s="243">
        <v>2426</v>
      </c>
      <c r="G7" s="242">
        <v>131</v>
      </c>
      <c r="H7" s="243">
        <v>2003</v>
      </c>
      <c r="I7" s="242">
        <v>107</v>
      </c>
      <c r="J7" s="243">
        <v>1168</v>
      </c>
      <c r="K7" s="243">
        <v>62</v>
      </c>
      <c r="L7" s="243">
        <v>618</v>
      </c>
      <c r="M7" s="243">
        <v>33</v>
      </c>
      <c r="N7" s="406">
        <f t="shared" si="0"/>
        <v>-0.4708904109589041</v>
      </c>
    </row>
    <row r="8" spans="1:14" x14ac:dyDescent="0.3">
      <c r="A8" s="62" t="s">
        <v>334</v>
      </c>
      <c r="B8" s="165">
        <v>312</v>
      </c>
      <c r="C8" s="165">
        <v>14</v>
      </c>
      <c r="D8" s="151">
        <v>290</v>
      </c>
      <c r="E8" s="242">
        <v>16</v>
      </c>
      <c r="F8" s="242">
        <v>515</v>
      </c>
      <c r="G8" s="242">
        <v>27</v>
      </c>
      <c r="H8" s="242">
        <v>415</v>
      </c>
      <c r="I8" s="242">
        <v>19</v>
      </c>
      <c r="J8" s="243">
        <v>421</v>
      </c>
      <c r="K8" s="243">
        <v>22</v>
      </c>
      <c r="L8" s="243">
        <v>554</v>
      </c>
      <c r="M8" s="243">
        <v>27</v>
      </c>
      <c r="N8" s="406">
        <f t="shared" si="0"/>
        <v>0.31591448931116389</v>
      </c>
    </row>
    <row r="9" spans="1:14" x14ac:dyDescent="0.3">
      <c r="A9" s="62" t="s">
        <v>335</v>
      </c>
      <c r="B9" s="165">
        <v>97053</v>
      </c>
      <c r="C9" s="165">
        <v>2414</v>
      </c>
      <c r="D9" s="241">
        <v>102026</v>
      </c>
      <c r="E9" s="243">
        <v>2424</v>
      </c>
      <c r="F9" s="243">
        <v>102446</v>
      </c>
      <c r="G9" s="243">
        <v>2441</v>
      </c>
      <c r="H9" s="243">
        <v>105128</v>
      </c>
      <c r="I9" s="243">
        <v>2458</v>
      </c>
      <c r="J9" s="243">
        <v>108038</v>
      </c>
      <c r="K9" s="243">
        <v>2487</v>
      </c>
      <c r="L9" s="243">
        <v>119324</v>
      </c>
      <c r="M9" s="243">
        <v>2501</v>
      </c>
      <c r="N9" s="406">
        <f t="shared" si="0"/>
        <v>0.10446324441400248</v>
      </c>
    </row>
    <row r="10" spans="1:14" x14ac:dyDescent="0.3">
      <c r="A10" s="62" t="s">
        <v>336</v>
      </c>
      <c r="B10" s="165">
        <v>2784</v>
      </c>
      <c r="C10" s="165">
        <v>340</v>
      </c>
      <c r="D10" s="241">
        <v>2647</v>
      </c>
      <c r="E10" s="242">
        <v>335</v>
      </c>
      <c r="F10" s="243">
        <v>2724</v>
      </c>
      <c r="G10" s="242">
        <v>343</v>
      </c>
      <c r="H10" s="243">
        <v>2532</v>
      </c>
      <c r="I10" s="242">
        <v>332</v>
      </c>
      <c r="J10" s="243">
        <v>2323</v>
      </c>
      <c r="K10" s="243">
        <v>305</v>
      </c>
      <c r="L10" s="243">
        <v>1124</v>
      </c>
      <c r="M10" s="243">
        <v>181</v>
      </c>
      <c r="N10" s="406">
        <f t="shared" si="0"/>
        <v>-0.51614291863969008</v>
      </c>
    </row>
    <row r="11" spans="1:14" x14ac:dyDescent="0.3">
      <c r="A11" s="62" t="s">
        <v>337</v>
      </c>
      <c r="B11" s="165">
        <v>61024</v>
      </c>
      <c r="C11" s="165">
        <v>2245</v>
      </c>
      <c r="D11" s="241">
        <v>61916</v>
      </c>
      <c r="E11" s="243">
        <v>2265</v>
      </c>
      <c r="F11" s="243">
        <v>63107</v>
      </c>
      <c r="G11" s="243">
        <v>2281</v>
      </c>
      <c r="H11" s="243">
        <v>63898</v>
      </c>
      <c r="I11" s="243">
        <v>2300</v>
      </c>
      <c r="J11" s="243">
        <v>64041</v>
      </c>
      <c r="K11" s="243">
        <v>2330</v>
      </c>
      <c r="L11" s="243">
        <v>63681</v>
      </c>
      <c r="M11" s="243">
        <v>2342</v>
      </c>
      <c r="N11" s="406">
        <f t="shared" si="0"/>
        <v>-5.62139879139926E-3</v>
      </c>
    </row>
    <row r="12" spans="1:14" x14ac:dyDescent="0.3">
      <c r="A12" s="62" t="s">
        <v>338</v>
      </c>
      <c r="B12" s="165">
        <v>57535</v>
      </c>
      <c r="C12" s="165">
        <v>656</v>
      </c>
      <c r="D12" s="181">
        <v>5428.5</v>
      </c>
      <c r="E12" s="242">
        <v>525</v>
      </c>
      <c r="F12" s="243">
        <v>5516</v>
      </c>
      <c r="G12" s="242">
        <v>571</v>
      </c>
      <c r="H12" s="243">
        <v>6155</v>
      </c>
      <c r="I12" s="242">
        <v>573</v>
      </c>
      <c r="J12" s="243">
        <v>4899.5</v>
      </c>
      <c r="K12" s="243">
        <v>529</v>
      </c>
      <c r="L12" s="243">
        <v>5289</v>
      </c>
      <c r="M12" s="243">
        <v>550</v>
      </c>
      <c r="N12" s="406">
        <f t="shared" si="0"/>
        <v>7.9497907949790794E-2</v>
      </c>
    </row>
    <row r="13" spans="1:14" x14ac:dyDescent="0.3">
      <c r="A13" s="62" t="s">
        <v>339</v>
      </c>
      <c r="B13" s="165">
        <v>17725</v>
      </c>
      <c r="C13" s="165">
        <v>460</v>
      </c>
      <c r="D13" s="241">
        <v>2193</v>
      </c>
      <c r="E13" s="242">
        <v>525</v>
      </c>
      <c r="F13" s="243">
        <v>2334</v>
      </c>
      <c r="G13" s="242">
        <v>518</v>
      </c>
      <c r="H13" s="243">
        <v>2227</v>
      </c>
      <c r="I13" s="242">
        <v>541</v>
      </c>
      <c r="J13" s="243">
        <v>2442</v>
      </c>
      <c r="K13" s="243">
        <v>530</v>
      </c>
      <c r="L13" s="243">
        <v>1549</v>
      </c>
      <c r="M13" s="243">
        <v>445</v>
      </c>
      <c r="N13" s="406">
        <f t="shared" si="0"/>
        <v>-0.36568386568386568</v>
      </c>
    </row>
    <row r="14" spans="1:14" x14ac:dyDescent="0.3">
      <c r="A14" s="62" t="s">
        <v>340</v>
      </c>
      <c r="B14" s="165">
        <v>21324</v>
      </c>
      <c r="C14" s="165">
        <v>2200</v>
      </c>
      <c r="D14" s="241">
        <v>21346</v>
      </c>
      <c r="E14" s="243">
        <v>2211</v>
      </c>
      <c r="F14" s="243">
        <v>21417</v>
      </c>
      <c r="G14" s="243">
        <v>2230</v>
      </c>
      <c r="H14" s="243">
        <v>21440</v>
      </c>
      <c r="I14" s="243">
        <v>2251</v>
      </c>
      <c r="J14" s="243">
        <v>21437</v>
      </c>
      <c r="K14" s="243">
        <v>2268</v>
      </c>
      <c r="L14" s="243">
        <v>38669</v>
      </c>
      <c r="M14" s="243">
        <v>2351</v>
      </c>
      <c r="N14" s="406">
        <f t="shared" si="0"/>
        <v>0.80384382143023747</v>
      </c>
    </row>
    <row r="15" spans="1:14" x14ac:dyDescent="0.3">
      <c r="A15" s="62" t="s">
        <v>341</v>
      </c>
      <c r="B15" s="165">
        <v>34453</v>
      </c>
      <c r="C15" s="165">
        <v>2418</v>
      </c>
      <c r="D15" s="241">
        <v>34823</v>
      </c>
      <c r="E15" s="243">
        <v>2428</v>
      </c>
      <c r="F15" s="243">
        <v>35058</v>
      </c>
      <c r="G15" s="243">
        <v>2444</v>
      </c>
      <c r="H15" s="243">
        <v>35102</v>
      </c>
      <c r="I15" s="243">
        <v>2461</v>
      </c>
      <c r="J15" s="243">
        <v>35054</v>
      </c>
      <c r="K15" s="243">
        <v>2489</v>
      </c>
      <c r="L15" s="243">
        <v>55944</v>
      </c>
      <c r="M15" s="243">
        <v>2502</v>
      </c>
      <c r="N15" s="406">
        <f t="shared" si="0"/>
        <v>0.59593769612597702</v>
      </c>
    </row>
    <row r="16" spans="1:14" x14ac:dyDescent="0.3">
      <c r="A16" s="62" t="s">
        <v>342</v>
      </c>
      <c r="B16" s="165">
        <v>125339</v>
      </c>
      <c r="C16" s="165">
        <v>2418</v>
      </c>
      <c r="D16" s="241">
        <v>128731</v>
      </c>
      <c r="E16" s="243">
        <v>2428</v>
      </c>
      <c r="F16" s="243">
        <v>159748</v>
      </c>
      <c r="G16" s="243">
        <v>2445</v>
      </c>
      <c r="H16" s="243">
        <v>160466</v>
      </c>
      <c r="I16" s="243">
        <v>2462</v>
      </c>
      <c r="J16" s="243">
        <v>160620</v>
      </c>
      <c r="K16" s="243">
        <v>2493</v>
      </c>
      <c r="L16" s="243">
        <v>355266</v>
      </c>
      <c r="M16" s="243">
        <v>2502</v>
      </c>
      <c r="N16" s="406">
        <f t="shared" si="0"/>
        <v>1.2118416137467314</v>
      </c>
    </row>
    <row r="17" spans="1:14" x14ac:dyDescent="0.3">
      <c r="A17" s="62" t="s">
        <v>343</v>
      </c>
      <c r="B17" s="165">
        <v>141782</v>
      </c>
      <c r="C17" s="165">
        <v>354</v>
      </c>
      <c r="D17" s="241">
        <v>143004</v>
      </c>
      <c r="E17" s="242">
        <v>353</v>
      </c>
      <c r="F17" s="243">
        <v>143694</v>
      </c>
      <c r="G17" s="242">
        <v>353</v>
      </c>
      <c r="H17" s="243">
        <v>143671</v>
      </c>
      <c r="I17" s="242">
        <v>352</v>
      </c>
      <c r="J17" s="243">
        <v>187547</v>
      </c>
      <c r="K17" s="243">
        <v>328</v>
      </c>
      <c r="L17" s="243">
        <v>208707</v>
      </c>
      <c r="M17" s="243">
        <v>327</v>
      </c>
      <c r="N17" s="406">
        <f t="shared" si="0"/>
        <v>0.11282505185366869</v>
      </c>
    </row>
    <row r="18" spans="1:14" x14ac:dyDescent="0.3">
      <c r="A18" s="62" t="s">
        <v>344</v>
      </c>
      <c r="B18" s="165">
        <v>43733</v>
      </c>
      <c r="C18" s="165">
        <v>354</v>
      </c>
      <c r="D18" s="241">
        <v>43903</v>
      </c>
      <c r="E18" s="242">
        <v>353</v>
      </c>
      <c r="F18" s="243">
        <v>44604</v>
      </c>
      <c r="G18" s="242">
        <v>353</v>
      </c>
      <c r="H18" s="243">
        <v>44671</v>
      </c>
      <c r="I18" s="242">
        <v>352</v>
      </c>
      <c r="J18" s="243">
        <v>45912</v>
      </c>
      <c r="K18" s="243">
        <v>328</v>
      </c>
      <c r="L18" s="243">
        <v>45792</v>
      </c>
      <c r="M18" s="243">
        <v>327</v>
      </c>
      <c r="N18" s="406">
        <f t="shared" si="0"/>
        <v>-2.6136957658128594E-3</v>
      </c>
    </row>
    <row r="19" spans="1:14" x14ac:dyDescent="0.3">
      <c r="A19" s="62" t="s">
        <v>345</v>
      </c>
      <c r="B19" s="165">
        <v>59071306</v>
      </c>
      <c r="C19" s="165">
        <v>2407</v>
      </c>
      <c r="D19" s="241">
        <v>58588559</v>
      </c>
      <c r="E19" s="242">
        <v>2416</v>
      </c>
      <c r="F19" s="243">
        <v>58738100</v>
      </c>
      <c r="G19" s="242">
        <v>2425</v>
      </c>
      <c r="H19" s="243">
        <v>61521197</v>
      </c>
      <c r="I19" s="242">
        <v>2442</v>
      </c>
      <c r="J19" s="243">
        <v>62859800</v>
      </c>
      <c r="K19" s="243">
        <v>2458</v>
      </c>
      <c r="L19" s="243">
        <v>59104493</v>
      </c>
      <c r="M19" s="243">
        <v>2503</v>
      </c>
      <c r="N19" s="406">
        <f t="shared" si="0"/>
        <v>-5.9740995039755135E-2</v>
      </c>
    </row>
    <row r="20" spans="1:14" x14ac:dyDescent="0.3">
      <c r="A20" s="62" t="s">
        <v>346</v>
      </c>
      <c r="B20" s="165"/>
      <c r="C20" s="165"/>
      <c r="D20" s="241"/>
      <c r="E20" s="242"/>
      <c r="F20" s="243">
        <v>59476</v>
      </c>
      <c r="G20" s="242">
        <v>331</v>
      </c>
      <c r="H20" s="243">
        <v>48797</v>
      </c>
      <c r="I20" s="242">
        <v>336</v>
      </c>
      <c r="J20" s="243">
        <v>49533</v>
      </c>
      <c r="K20" s="243">
        <v>312</v>
      </c>
      <c r="L20" s="243">
        <v>38549</v>
      </c>
      <c r="M20" s="243">
        <v>311</v>
      </c>
      <c r="N20" s="406">
        <f t="shared" si="0"/>
        <v>-0.22175115579512647</v>
      </c>
    </row>
    <row r="21" spans="1:14" x14ac:dyDescent="0.3">
      <c r="A21" s="62" t="s">
        <v>347</v>
      </c>
      <c r="B21" s="165"/>
      <c r="C21" s="165"/>
      <c r="D21" s="241"/>
      <c r="E21" s="242"/>
      <c r="F21" s="243"/>
      <c r="G21" s="243"/>
      <c r="H21" s="243">
        <v>7757</v>
      </c>
      <c r="I21" s="243">
        <v>2442</v>
      </c>
      <c r="J21" s="243">
        <v>7753</v>
      </c>
      <c r="K21" s="243">
        <v>2461</v>
      </c>
      <c r="L21" s="243">
        <v>9811</v>
      </c>
      <c r="M21" s="243">
        <v>2488</v>
      </c>
      <c r="N21" s="406">
        <f t="shared" si="0"/>
        <v>0.26544563394814913</v>
      </c>
    </row>
    <row r="22" spans="1:14" x14ac:dyDescent="0.3">
      <c r="A22" s="62" t="s">
        <v>348</v>
      </c>
      <c r="B22" s="165"/>
      <c r="C22" s="165"/>
      <c r="D22" s="241"/>
      <c r="E22" s="242"/>
      <c r="F22" s="243"/>
      <c r="G22" s="243"/>
      <c r="H22" s="243"/>
      <c r="I22" s="243"/>
      <c r="J22" s="243">
        <v>17148</v>
      </c>
      <c r="K22" s="243">
        <v>2120</v>
      </c>
      <c r="L22" s="243">
        <v>16757</v>
      </c>
      <c r="M22" s="243">
        <v>2503</v>
      </c>
      <c r="N22" s="406">
        <f t="shared" si="0"/>
        <v>-2.2801492885467692E-2</v>
      </c>
    </row>
    <row r="23" spans="1:14" x14ac:dyDescent="0.3">
      <c r="A23" s="62" t="s">
        <v>349</v>
      </c>
      <c r="B23" s="165"/>
      <c r="C23" s="165"/>
      <c r="D23" s="241"/>
      <c r="E23" s="242"/>
      <c r="F23" s="243"/>
      <c r="G23" s="243"/>
      <c r="H23" s="243"/>
      <c r="I23" s="243"/>
      <c r="J23" s="243"/>
      <c r="K23" s="243"/>
      <c r="L23" s="243">
        <v>10973</v>
      </c>
      <c r="M23" s="243">
        <v>2488</v>
      </c>
      <c r="N23" s="226"/>
    </row>
    <row r="24" spans="1:14" x14ac:dyDescent="0.3">
      <c r="A24" s="62" t="s">
        <v>350</v>
      </c>
      <c r="B24" s="165"/>
      <c r="C24" s="165"/>
      <c r="D24" s="241"/>
      <c r="E24" s="242"/>
      <c r="F24" s="243"/>
      <c r="G24" s="243"/>
      <c r="H24" s="243"/>
      <c r="I24" s="243"/>
      <c r="J24" s="243"/>
      <c r="K24" s="243"/>
      <c r="L24" s="243">
        <v>3630</v>
      </c>
      <c r="M24" s="243">
        <v>2488</v>
      </c>
      <c r="N24" s="226"/>
    </row>
    <row r="25" spans="1:14" x14ac:dyDescent="0.3">
      <c r="A25" s="71" t="s">
        <v>351</v>
      </c>
      <c r="B25" s="71"/>
      <c r="C25" s="71"/>
    </row>
  </sheetData>
  <mergeCells count="8">
    <mergeCell ref="A3:A4"/>
    <mergeCell ref="D3:E3"/>
    <mergeCell ref="F3:G3"/>
    <mergeCell ref="H3:I3"/>
    <mergeCell ref="N3:N4"/>
    <mergeCell ref="B3:C3"/>
    <mergeCell ref="J3:K3"/>
    <mergeCell ref="L3:M3"/>
  </mergeCells>
  <hyperlinks>
    <hyperlink ref="A1" location="Inhoud!A1" display="Terug naar inhoud" xr:uid="{7DF7CC72-F271-4F3C-B570-066931DF9476}"/>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7D65D-497E-427B-89D4-42E040586890}">
  <sheetPr codeName="Blad23"/>
  <dimension ref="A1:N29"/>
  <sheetViews>
    <sheetView workbookViewId="0">
      <selection activeCell="A2" sqref="A2"/>
    </sheetView>
  </sheetViews>
  <sheetFormatPr defaultColWidth="9.109375" defaultRowHeight="15.6" x14ac:dyDescent="0.3"/>
  <cols>
    <col min="1" max="1" width="57.88671875" style="98" customWidth="1"/>
    <col min="2" max="2" width="9.5546875" style="98" customWidth="1"/>
    <col min="3" max="3" width="6" style="98" customWidth="1"/>
    <col min="4" max="13" width="9.6640625" style="95" customWidth="1"/>
    <col min="14" max="14" width="10.6640625" style="95" customWidth="1"/>
    <col min="15" max="16384" width="9.109375" style="95"/>
  </cols>
  <sheetData>
    <row r="1" spans="1:14" x14ac:dyDescent="0.3">
      <c r="A1" s="375" t="s">
        <v>95</v>
      </c>
    </row>
    <row r="2" spans="1:14" s="96" customFormat="1" x14ac:dyDescent="0.3">
      <c r="A2" s="17" t="s">
        <v>352</v>
      </c>
      <c r="B2" s="17"/>
      <c r="C2" s="17"/>
    </row>
    <row r="3" spans="1:14" x14ac:dyDescent="0.3">
      <c r="A3" s="544" t="s">
        <v>353</v>
      </c>
      <c r="B3" s="540" t="s">
        <v>97</v>
      </c>
      <c r="C3" s="541"/>
      <c r="D3" s="490" t="s">
        <v>98</v>
      </c>
      <c r="E3" s="490"/>
      <c r="F3" s="490" t="s">
        <v>99</v>
      </c>
      <c r="G3" s="490"/>
      <c r="H3" s="490" t="s">
        <v>100</v>
      </c>
      <c r="I3" s="490"/>
      <c r="J3" s="490" t="s">
        <v>101</v>
      </c>
      <c r="K3" s="490"/>
      <c r="L3" s="490" t="s">
        <v>102</v>
      </c>
      <c r="M3" s="490"/>
      <c r="N3" s="490" t="s">
        <v>116</v>
      </c>
    </row>
    <row r="4" spans="1:14" ht="88.2" x14ac:dyDescent="0.3">
      <c r="A4" s="544"/>
      <c r="B4" s="233" t="s">
        <v>330</v>
      </c>
      <c r="C4" s="73" t="s">
        <v>188</v>
      </c>
      <c r="D4" s="233" t="s">
        <v>330</v>
      </c>
      <c r="E4" s="73" t="s">
        <v>188</v>
      </c>
      <c r="F4" s="233" t="s">
        <v>330</v>
      </c>
      <c r="G4" s="73" t="s">
        <v>188</v>
      </c>
      <c r="H4" s="233" t="s">
        <v>330</v>
      </c>
      <c r="I4" s="73" t="s">
        <v>188</v>
      </c>
      <c r="J4" s="233" t="s">
        <v>330</v>
      </c>
      <c r="K4" s="73" t="s">
        <v>188</v>
      </c>
      <c r="L4" s="233" t="s">
        <v>330</v>
      </c>
      <c r="M4" s="73" t="s">
        <v>188</v>
      </c>
      <c r="N4" s="490"/>
    </row>
    <row r="5" spans="1:14" ht="28.8" x14ac:dyDescent="0.3">
      <c r="A5" s="184" t="s">
        <v>354</v>
      </c>
      <c r="B5" s="36">
        <v>96789</v>
      </c>
      <c r="C5" s="295">
        <v>200</v>
      </c>
      <c r="D5" s="186">
        <v>95549</v>
      </c>
      <c r="E5" s="184">
        <v>200</v>
      </c>
      <c r="F5" s="185">
        <v>95855</v>
      </c>
      <c r="G5" s="184">
        <v>199</v>
      </c>
      <c r="H5" s="185">
        <v>98211</v>
      </c>
      <c r="I5" s="184">
        <v>199</v>
      </c>
      <c r="J5" s="185">
        <v>102734</v>
      </c>
      <c r="K5" s="185">
        <v>200</v>
      </c>
      <c r="L5" s="185">
        <v>106115</v>
      </c>
      <c r="M5" s="185">
        <v>199</v>
      </c>
      <c r="N5" s="409">
        <f>(L5-J5)/J5</f>
        <v>3.2910234197052579E-2</v>
      </c>
    </row>
    <row r="6" spans="1:14" x14ac:dyDescent="0.3">
      <c r="A6" s="62" t="s">
        <v>355</v>
      </c>
      <c r="B6" s="36">
        <v>52037</v>
      </c>
      <c r="C6" s="295">
        <v>193</v>
      </c>
      <c r="D6" s="160">
        <v>51042</v>
      </c>
      <c r="E6" s="64">
        <v>195</v>
      </c>
      <c r="F6" s="65">
        <v>51528</v>
      </c>
      <c r="G6" s="64">
        <v>194</v>
      </c>
      <c r="H6" s="65">
        <v>53254</v>
      </c>
      <c r="I6" s="64">
        <v>194</v>
      </c>
      <c r="J6" s="65">
        <v>56399</v>
      </c>
      <c r="K6" s="65">
        <v>195</v>
      </c>
      <c r="L6" s="359">
        <v>58981</v>
      </c>
      <c r="M6" s="359">
        <v>194</v>
      </c>
      <c r="N6" s="409">
        <f t="shared" ref="N6:N28" si="0">(L6-J6)/J6</f>
        <v>4.5780953563006439E-2</v>
      </c>
    </row>
    <row r="7" spans="1:14" x14ac:dyDescent="0.3">
      <c r="A7" s="62" t="s">
        <v>356</v>
      </c>
      <c r="B7" s="33">
        <v>2757</v>
      </c>
      <c r="C7" s="295">
        <v>77</v>
      </c>
      <c r="D7" s="162">
        <v>2788</v>
      </c>
      <c r="E7" s="62">
        <v>78</v>
      </c>
      <c r="F7" s="163">
        <v>2867</v>
      </c>
      <c r="G7" s="62">
        <v>76</v>
      </c>
      <c r="H7" s="163">
        <v>2899</v>
      </c>
      <c r="I7" s="62">
        <v>75</v>
      </c>
      <c r="J7" s="163">
        <v>2967</v>
      </c>
      <c r="K7" s="163">
        <v>75</v>
      </c>
      <c r="L7" s="185">
        <v>2998</v>
      </c>
      <c r="M7" s="185">
        <v>216</v>
      </c>
      <c r="N7" s="409">
        <f t="shared" si="0"/>
        <v>1.0448264239973037E-2</v>
      </c>
    </row>
    <row r="8" spans="1:14" x14ac:dyDescent="0.3">
      <c r="A8" s="62" t="s">
        <v>357</v>
      </c>
      <c r="B8" s="36">
        <v>109</v>
      </c>
      <c r="C8" s="295">
        <v>5</v>
      </c>
      <c r="D8" s="154">
        <v>84</v>
      </c>
      <c r="E8" s="64">
        <v>5</v>
      </c>
      <c r="F8" s="64">
        <v>84</v>
      </c>
      <c r="G8" s="64">
        <v>5</v>
      </c>
      <c r="H8" s="64">
        <v>84</v>
      </c>
      <c r="I8" s="64">
        <v>5</v>
      </c>
      <c r="J8" s="65">
        <v>90</v>
      </c>
      <c r="K8" s="65">
        <v>5</v>
      </c>
      <c r="L8" s="359">
        <v>90</v>
      </c>
      <c r="M8" s="359">
        <v>5</v>
      </c>
      <c r="N8" s="409">
        <f t="shared" si="0"/>
        <v>0</v>
      </c>
    </row>
    <row r="9" spans="1:14" x14ac:dyDescent="0.3">
      <c r="A9" s="62" t="s">
        <v>358</v>
      </c>
      <c r="B9" s="33">
        <v>1154</v>
      </c>
      <c r="C9" s="295">
        <v>90</v>
      </c>
      <c r="D9" s="160">
        <v>1145</v>
      </c>
      <c r="E9" s="64">
        <v>89</v>
      </c>
      <c r="F9" s="65">
        <v>1119</v>
      </c>
      <c r="G9" s="64">
        <v>89</v>
      </c>
      <c r="H9" s="65">
        <v>1119</v>
      </c>
      <c r="I9" s="64">
        <v>89</v>
      </c>
      <c r="J9" s="65">
        <v>1119</v>
      </c>
      <c r="K9" s="65">
        <v>89</v>
      </c>
      <c r="L9" s="359">
        <v>1364</v>
      </c>
      <c r="M9" s="359">
        <v>53</v>
      </c>
      <c r="N9" s="409">
        <f t="shared" si="0"/>
        <v>0.21894548704200179</v>
      </c>
    </row>
    <row r="10" spans="1:14" x14ac:dyDescent="0.3">
      <c r="A10" s="62" t="s">
        <v>359</v>
      </c>
      <c r="B10" s="36">
        <v>920</v>
      </c>
      <c r="C10" s="295">
        <v>49</v>
      </c>
      <c r="D10" s="154">
        <v>902</v>
      </c>
      <c r="E10" s="64">
        <v>47</v>
      </c>
      <c r="F10" s="64">
        <v>793</v>
      </c>
      <c r="G10" s="64">
        <v>38</v>
      </c>
      <c r="H10" s="64">
        <v>826</v>
      </c>
      <c r="I10" s="64">
        <v>36</v>
      </c>
      <c r="J10" s="65">
        <v>849</v>
      </c>
      <c r="K10" s="65">
        <v>55</v>
      </c>
      <c r="L10" s="359">
        <v>860</v>
      </c>
      <c r="M10" s="359">
        <v>105</v>
      </c>
      <c r="N10" s="409">
        <f t="shared" si="0"/>
        <v>1.2956419316843345E-2</v>
      </c>
    </row>
    <row r="11" spans="1:14" x14ac:dyDescent="0.3">
      <c r="A11" s="62" t="s">
        <v>360</v>
      </c>
      <c r="B11" s="33" t="s">
        <v>185</v>
      </c>
      <c r="C11" s="33" t="s">
        <v>185</v>
      </c>
      <c r="D11" s="160">
        <v>7530</v>
      </c>
      <c r="E11" s="64">
        <v>140</v>
      </c>
      <c r="F11" s="183">
        <v>9349.5</v>
      </c>
      <c r="G11" s="64">
        <v>144</v>
      </c>
      <c r="H11" s="65">
        <v>13536</v>
      </c>
      <c r="I11" s="64">
        <v>155</v>
      </c>
      <c r="J11" s="65">
        <v>21456</v>
      </c>
      <c r="K11" s="65">
        <v>167</v>
      </c>
      <c r="L11" s="359">
        <v>21762.5</v>
      </c>
      <c r="M11" s="359">
        <v>160</v>
      </c>
      <c r="N11" s="409">
        <f t="shared" si="0"/>
        <v>1.4285048471290081E-2</v>
      </c>
    </row>
    <row r="12" spans="1:14" x14ac:dyDescent="0.3">
      <c r="A12" s="62" t="s">
        <v>361</v>
      </c>
      <c r="B12" s="33" t="s">
        <v>185</v>
      </c>
      <c r="C12" s="33" t="s">
        <v>185</v>
      </c>
      <c r="D12" s="160">
        <v>8034</v>
      </c>
      <c r="E12" s="64">
        <v>133</v>
      </c>
      <c r="F12" s="65">
        <v>9884</v>
      </c>
      <c r="G12" s="64">
        <v>144</v>
      </c>
      <c r="H12" s="65">
        <v>13628</v>
      </c>
      <c r="I12" s="64">
        <v>149</v>
      </c>
      <c r="J12" s="65">
        <v>20516</v>
      </c>
      <c r="K12" s="65">
        <v>167</v>
      </c>
      <c r="L12" s="359">
        <v>20842.5</v>
      </c>
      <c r="M12" s="359">
        <v>160</v>
      </c>
      <c r="N12" s="409">
        <f t="shared" si="0"/>
        <v>1.5914408266718659E-2</v>
      </c>
    </row>
    <row r="13" spans="1:14" x14ac:dyDescent="0.3">
      <c r="A13" s="62" t="s">
        <v>362</v>
      </c>
      <c r="B13" s="33" t="s">
        <v>185</v>
      </c>
      <c r="C13" s="33" t="s">
        <v>185</v>
      </c>
      <c r="D13" s="188">
        <v>21041.5</v>
      </c>
      <c r="E13" s="64">
        <v>144</v>
      </c>
      <c r="F13" s="183">
        <v>22004.5</v>
      </c>
      <c r="G13" s="64">
        <v>144</v>
      </c>
      <c r="H13" s="65">
        <v>17419</v>
      </c>
      <c r="I13" s="64">
        <v>153</v>
      </c>
      <c r="J13" s="65">
        <v>16012</v>
      </c>
      <c r="K13" s="65">
        <v>112</v>
      </c>
      <c r="L13" s="359">
        <v>18087</v>
      </c>
      <c r="M13" s="359">
        <v>114</v>
      </c>
      <c r="N13" s="409">
        <f t="shared" si="0"/>
        <v>0.12959030726954784</v>
      </c>
    </row>
    <row r="14" spans="1:14" x14ac:dyDescent="0.3">
      <c r="A14" s="62" t="s">
        <v>363</v>
      </c>
      <c r="B14" s="33" t="s">
        <v>185</v>
      </c>
      <c r="C14" s="33" t="s">
        <v>185</v>
      </c>
      <c r="D14" s="33" t="s">
        <v>185</v>
      </c>
      <c r="E14" s="33" t="s">
        <v>185</v>
      </c>
      <c r="F14" s="62">
        <v>125</v>
      </c>
      <c r="G14" s="62">
        <v>7</v>
      </c>
      <c r="H14" s="62">
        <v>124</v>
      </c>
      <c r="I14" s="62">
        <v>7</v>
      </c>
      <c r="J14" s="163">
        <v>111</v>
      </c>
      <c r="K14" s="163">
        <v>6</v>
      </c>
      <c r="L14" s="185">
        <v>114.5</v>
      </c>
      <c r="M14" s="185">
        <v>6</v>
      </c>
      <c r="N14" s="409">
        <f t="shared" si="0"/>
        <v>3.1531531531531529E-2</v>
      </c>
    </row>
    <row r="15" spans="1:14" x14ac:dyDescent="0.3">
      <c r="A15" s="62" t="s">
        <v>341</v>
      </c>
      <c r="B15" s="36">
        <v>1377</v>
      </c>
      <c r="C15" s="295">
        <v>200</v>
      </c>
      <c r="D15" s="160">
        <v>1341</v>
      </c>
      <c r="E15" s="64">
        <v>200</v>
      </c>
      <c r="F15" s="65">
        <v>1325</v>
      </c>
      <c r="G15" s="64">
        <v>199</v>
      </c>
      <c r="H15" s="65">
        <v>1352</v>
      </c>
      <c r="I15" s="64">
        <v>198</v>
      </c>
      <c r="J15" s="65">
        <v>1403</v>
      </c>
      <c r="K15" s="65">
        <v>199</v>
      </c>
      <c r="L15" s="359">
        <v>2320</v>
      </c>
      <c r="M15" s="359">
        <v>199</v>
      </c>
      <c r="N15" s="409">
        <f t="shared" si="0"/>
        <v>0.6535994297933001</v>
      </c>
    </row>
    <row r="16" spans="1:14" x14ac:dyDescent="0.3">
      <c r="A16" s="62" t="s">
        <v>342</v>
      </c>
      <c r="B16" s="36">
        <v>9618</v>
      </c>
      <c r="C16" s="295">
        <v>200</v>
      </c>
      <c r="D16" s="160">
        <v>9673</v>
      </c>
      <c r="E16" s="64">
        <v>200</v>
      </c>
      <c r="F16" s="65">
        <v>10867</v>
      </c>
      <c r="G16" s="64">
        <v>199</v>
      </c>
      <c r="H16" s="65">
        <v>11188</v>
      </c>
      <c r="I16" s="64">
        <v>199</v>
      </c>
      <c r="J16" s="65">
        <v>11492</v>
      </c>
      <c r="K16" s="65">
        <v>200</v>
      </c>
      <c r="L16" s="359">
        <v>12551</v>
      </c>
      <c r="M16" s="359">
        <v>193</v>
      </c>
      <c r="N16" s="409">
        <f t="shared" si="0"/>
        <v>9.215106160807518E-2</v>
      </c>
    </row>
    <row r="17" spans="1:14" x14ac:dyDescent="0.3">
      <c r="A17" s="62" t="s">
        <v>364</v>
      </c>
      <c r="B17" s="36">
        <v>5882098</v>
      </c>
      <c r="C17" s="295">
        <v>200</v>
      </c>
      <c r="D17" s="162">
        <v>5562220</v>
      </c>
      <c r="E17" s="62">
        <v>200</v>
      </c>
      <c r="F17" s="163">
        <v>5419162</v>
      </c>
      <c r="G17" s="62">
        <v>199</v>
      </c>
      <c r="H17" s="163">
        <v>5671650</v>
      </c>
      <c r="I17" s="62">
        <v>199</v>
      </c>
      <c r="J17" s="163">
        <v>5903435</v>
      </c>
      <c r="K17" s="163">
        <v>199</v>
      </c>
      <c r="L17" s="185">
        <v>5747116</v>
      </c>
      <c r="M17" s="185">
        <v>198</v>
      </c>
      <c r="N17" s="409">
        <f t="shared" si="0"/>
        <v>-2.6479329407370456E-2</v>
      </c>
    </row>
    <row r="18" spans="1:14" x14ac:dyDescent="0.3">
      <c r="A18" s="62" t="s">
        <v>365</v>
      </c>
      <c r="B18" s="174" t="s">
        <v>185</v>
      </c>
      <c r="C18" s="174" t="s">
        <v>185</v>
      </c>
      <c r="D18" s="174" t="s">
        <v>185</v>
      </c>
      <c r="E18" s="33" t="s">
        <v>185</v>
      </c>
      <c r="F18" s="33" t="s">
        <v>185</v>
      </c>
      <c r="G18" s="33" t="s">
        <v>185</v>
      </c>
      <c r="H18" s="65">
        <v>1160</v>
      </c>
      <c r="I18" s="64">
        <v>199</v>
      </c>
      <c r="J18" s="65">
        <v>1201</v>
      </c>
      <c r="K18" s="65">
        <v>199</v>
      </c>
      <c r="L18" s="359">
        <v>1417</v>
      </c>
      <c r="M18" s="359">
        <v>198</v>
      </c>
      <c r="N18" s="409">
        <f t="shared" si="0"/>
        <v>0.17985012489592006</v>
      </c>
    </row>
    <row r="19" spans="1:14" x14ac:dyDescent="0.3">
      <c r="A19" s="62" t="s">
        <v>348</v>
      </c>
      <c r="B19" s="174"/>
      <c r="C19" s="174"/>
      <c r="D19" s="174"/>
      <c r="E19" s="33"/>
      <c r="F19" s="33"/>
      <c r="G19" s="33"/>
      <c r="H19" s="65"/>
      <c r="I19" s="64"/>
      <c r="J19" s="65">
        <v>565</v>
      </c>
      <c r="K19" s="65">
        <v>136</v>
      </c>
      <c r="L19" s="359">
        <v>624</v>
      </c>
      <c r="M19" s="359">
        <v>193</v>
      </c>
      <c r="N19" s="409">
        <f t="shared" si="0"/>
        <v>0.10442477876106195</v>
      </c>
    </row>
    <row r="20" spans="1:14" x14ac:dyDescent="0.3">
      <c r="A20" s="407" t="s">
        <v>349</v>
      </c>
      <c r="B20" s="174"/>
      <c r="C20" s="174"/>
      <c r="D20" s="174"/>
      <c r="E20" s="33"/>
      <c r="F20" s="33"/>
      <c r="G20" s="33"/>
      <c r="H20" s="65"/>
      <c r="I20" s="64"/>
      <c r="J20" s="65"/>
      <c r="K20" s="65"/>
      <c r="L20" s="359">
        <v>985</v>
      </c>
      <c r="M20" s="359">
        <v>198</v>
      </c>
      <c r="N20" s="187"/>
    </row>
    <row r="21" spans="1:14" x14ac:dyDescent="0.3">
      <c r="A21" s="408" t="s">
        <v>350</v>
      </c>
      <c r="B21" s="174"/>
      <c r="C21" s="174"/>
      <c r="D21" s="174"/>
      <c r="E21" s="33"/>
      <c r="F21" s="33"/>
      <c r="G21" s="33"/>
      <c r="H21" s="65"/>
      <c r="I21" s="64"/>
      <c r="J21" s="65"/>
      <c r="K21" s="65"/>
      <c r="L21" s="359">
        <v>473</v>
      </c>
      <c r="M21" s="359">
        <v>198</v>
      </c>
      <c r="N21" s="187"/>
    </row>
    <row r="22" spans="1:14" x14ac:dyDescent="0.3">
      <c r="A22" s="544" t="s">
        <v>366</v>
      </c>
      <c r="B22" s="545"/>
      <c r="C22" s="545"/>
      <c r="D22" s="544"/>
      <c r="E22" s="544"/>
      <c r="F22" s="544"/>
      <c r="G22" s="544"/>
      <c r="H22" s="544"/>
      <c r="I22" s="544"/>
      <c r="J22" s="544"/>
      <c r="K22" s="544"/>
      <c r="L22" s="544"/>
      <c r="M22" s="544"/>
      <c r="N22" s="544"/>
    </row>
    <row r="23" spans="1:14" x14ac:dyDescent="0.3">
      <c r="A23" s="62" t="s">
        <v>367</v>
      </c>
      <c r="B23" s="295">
        <v>10482</v>
      </c>
      <c r="C23" s="295">
        <v>16</v>
      </c>
      <c r="D23" s="160">
        <v>10084</v>
      </c>
      <c r="E23" s="64">
        <v>16</v>
      </c>
      <c r="F23" s="65">
        <v>9636</v>
      </c>
      <c r="G23" s="64">
        <v>16</v>
      </c>
      <c r="H23" s="64">
        <v>9852</v>
      </c>
      <c r="I23" s="64">
        <v>16</v>
      </c>
      <c r="J23" s="65">
        <v>10253</v>
      </c>
      <c r="K23" s="65">
        <v>16</v>
      </c>
      <c r="L23" s="65">
        <v>10507</v>
      </c>
      <c r="M23" s="65">
        <v>32</v>
      </c>
      <c r="N23" s="409">
        <f t="shared" si="0"/>
        <v>2.4773237101336193E-2</v>
      </c>
    </row>
    <row r="24" spans="1:14" x14ac:dyDescent="0.3">
      <c r="A24" s="77" t="s">
        <v>368</v>
      </c>
      <c r="B24" s="295">
        <v>9730</v>
      </c>
      <c r="C24" s="295">
        <v>16</v>
      </c>
      <c r="D24" s="160">
        <v>9345</v>
      </c>
      <c r="E24" s="64">
        <v>16</v>
      </c>
      <c r="F24" s="65">
        <v>8909</v>
      </c>
      <c r="G24" s="64">
        <v>16</v>
      </c>
      <c r="H24" s="64">
        <v>9105</v>
      </c>
      <c r="I24" s="64">
        <v>16</v>
      </c>
      <c r="J24" s="65">
        <v>9467</v>
      </c>
      <c r="K24" s="65">
        <v>16</v>
      </c>
      <c r="L24" s="65">
        <v>9700</v>
      </c>
      <c r="M24" s="65">
        <v>16</v>
      </c>
      <c r="N24" s="409">
        <f t="shared" si="0"/>
        <v>2.4611809443329462E-2</v>
      </c>
    </row>
    <row r="25" spans="1:14" x14ac:dyDescent="0.3">
      <c r="A25" s="77" t="s">
        <v>369</v>
      </c>
      <c r="B25" s="295">
        <v>752</v>
      </c>
      <c r="C25" s="295">
        <v>16</v>
      </c>
      <c r="D25" s="154">
        <v>739</v>
      </c>
      <c r="E25" s="64">
        <v>16</v>
      </c>
      <c r="F25" s="64">
        <v>727</v>
      </c>
      <c r="G25" s="64">
        <v>16</v>
      </c>
      <c r="H25" s="64">
        <v>747</v>
      </c>
      <c r="I25" s="64">
        <v>16</v>
      </c>
      <c r="J25" s="65">
        <v>786</v>
      </c>
      <c r="K25" s="65">
        <v>16</v>
      </c>
      <c r="L25" s="65">
        <v>807</v>
      </c>
      <c r="M25" s="65">
        <v>16</v>
      </c>
      <c r="N25" s="409">
        <f t="shared" si="0"/>
        <v>2.6717557251908396E-2</v>
      </c>
    </row>
    <row r="26" spans="1:14" x14ac:dyDescent="0.3">
      <c r="A26" s="62" t="s">
        <v>370</v>
      </c>
      <c r="B26" s="295">
        <v>16</v>
      </c>
      <c r="C26" s="295">
        <v>16</v>
      </c>
      <c r="D26" s="154">
        <v>16</v>
      </c>
      <c r="E26" s="64">
        <v>16</v>
      </c>
      <c r="F26" s="64">
        <v>16</v>
      </c>
      <c r="G26" s="64">
        <v>16</v>
      </c>
      <c r="H26" s="64">
        <v>16</v>
      </c>
      <c r="I26" s="64">
        <v>16</v>
      </c>
      <c r="J26" s="65">
        <v>16</v>
      </c>
      <c r="K26" s="65">
        <v>16</v>
      </c>
      <c r="L26" s="65">
        <v>16</v>
      </c>
      <c r="M26" s="65">
        <v>16</v>
      </c>
      <c r="N26" s="409">
        <f t="shared" si="0"/>
        <v>0</v>
      </c>
    </row>
    <row r="27" spans="1:14" x14ac:dyDescent="0.3">
      <c r="A27" s="62" t="s">
        <v>371</v>
      </c>
      <c r="B27" s="295">
        <v>179</v>
      </c>
      <c r="C27" s="295">
        <v>10</v>
      </c>
      <c r="D27" s="154">
        <v>176</v>
      </c>
      <c r="E27" s="64">
        <v>10</v>
      </c>
      <c r="F27" s="64">
        <v>179.5</v>
      </c>
      <c r="G27" s="64">
        <v>10</v>
      </c>
      <c r="H27" s="64">
        <v>185.5</v>
      </c>
      <c r="I27" s="64">
        <v>10</v>
      </c>
      <c r="J27" s="65">
        <v>194</v>
      </c>
      <c r="K27" s="65">
        <v>10</v>
      </c>
      <c r="L27" s="65">
        <v>199</v>
      </c>
      <c r="M27" s="65">
        <v>10</v>
      </c>
      <c r="N27" s="409">
        <f t="shared" si="0"/>
        <v>2.5773195876288658E-2</v>
      </c>
    </row>
    <row r="28" spans="1:14" x14ac:dyDescent="0.3">
      <c r="A28" s="62" t="s">
        <v>372</v>
      </c>
      <c r="B28" s="295">
        <v>6806</v>
      </c>
      <c r="C28" s="295">
        <v>7</v>
      </c>
      <c r="D28" s="160">
        <v>6806</v>
      </c>
      <c r="E28" s="64">
        <v>7</v>
      </c>
      <c r="F28" s="65">
        <v>6806</v>
      </c>
      <c r="G28" s="64">
        <v>7</v>
      </c>
      <c r="H28" s="65">
        <v>6806</v>
      </c>
      <c r="I28" s="64">
        <v>7</v>
      </c>
      <c r="J28" s="65">
        <v>6806</v>
      </c>
      <c r="K28" s="65">
        <v>7</v>
      </c>
      <c r="L28" s="65">
        <v>6806</v>
      </c>
      <c r="M28" s="65">
        <v>7</v>
      </c>
      <c r="N28" s="409">
        <f t="shared" si="0"/>
        <v>0</v>
      </c>
    </row>
    <row r="29" spans="1:14" x14ac:dyDescent="0.3">
      <c r="A29" s="97"/>
      <c r="B29" s="97"/>
      <c r="C29" s="97"/>
      <c r="D29" s="96"/>
      <c r="E29" s="96"/>
      <c r="F29" s="96"/>
      <c r="G29" s="96"/>
      <c r="H29" s="96"/>
      <c r="I29" s="96"/>
      <c r="J29" s="96"/>
      <c r="K29" s="96"/>
      <c r="L29" s="96"/>
      <c r="M29" s="96"/>
      <c r="N29" s="96"/>
    </row>
  </sheetData>
  <mergeCells count="9">
    <mergeCell ref="B3:C3"/>
    <mergeCell ref="A22:N22"/>
    <mergeCell ref="N3:N4"/>
    <mergeCell ref="A3:A4"/>
    <mergeCell ref="D3:E3"/>
    <mergeCell ref="F3:G3"/>
    <mergeCell ref="H3:I3"/>
    <mergeCell ref="J3:K3"/>
    <mergeCell ref="L3:M3"/>
  </mergeCells>
  <hyperlinks>
    <hyperlink ref="A1" location="Inhoud!A1" display="Terug naar inhoud" xr:uid="{1B27F8D8-D3F2-42C7-9B44-AC91959C8C0B}"/>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7E17E-F940-46D9-870D-369F314F7375}">
  <sheetPr codeName="Blad24"/>
  <dimension ref="A1:S52"/>
  <sheetViews>
    <sheetView workbookViewId="0">
      <selection activeCell="A2" sqref="A2"/>
    </sheetView>
  </sheetViews>
  <sheetFormatPr defaultRowHeight="14.4" x14ac:dyDescent="0.3"/>
  <cols>
    <col min="1" max="1" width="54.6640625" style="2" bestFit="1" customWidth="1"/>
    <col min="2" max="2" width="12.88671875" bestFit="1" customWidth="1"/>
    <col min="3" max="3" width="9.6640625" customWidth="1"/>
    <col min="4" max="5" width="9.6640625" bestFit="1" customWidth="1"/>
    <col min="6" max="6" width="10" bestFit="1" customWidth="1"/>
    <col min="14" max="14" width="25" bestFit="1" customWidth="1"/>
  </cols>
  <sheetData>
    <row r="1" spans="1:14" x14ac:dyDescent="0.3">
      <c r="A1" s="375" t="s">
        <v>95</v>
      </c>
    </row>
    <row r="2" spans="1:14" ht="15" thickBot="1" x14ac:dyDescent="0.35">
      <c r="A2" s="114" t="s">
        <v>373</v>
      </c>
    </row>
    <row r="3" spans="1:14" ht="19.2" customHeight="1" thickBot="1" x14ac:dyDescent="0.35">
      <c r="A3" s="560"/>
      <c r="B3" s="548" t="s">
        <v>97</v>
      </c>
      <c r="C3" s="549"/>
      <c r="D3" s="548" t="s">
        <v>98</v>
      </c>
      <c r="E3" s="562"/>
      <c r="F3" s="548" t="s">
        <v>99</v>
      </c>
      <c r="G3" s="549"/>
      <c r="H3" s="548" t="s">
        <v>100</v>
      </c>
      <c r="I3" s="549"/>
      <c r="J3" s="548" t="s">
        <v>101</v>
      </c>
      <c r="K3" s="549"/>
      <c r="L3" s="548" t="s">
        <v>102</v>
      </c>
      <c r="M3" s="549"/>
      <c r="N3" s="546" t="s">
        <v>116</v>
      </c>
    </row>
    <row r="4" spans="1:14" s="3" customFormat="1" ht="45.15" customHeight="1" thickBot="1" x14ac:dyDescent="0.35">
      <c r="A4" s="561"/>
      <c r="B4" s="111"/>
      <c r="C4" s="112" t="s">
        <v>188</v>
      </c>
      <c r="D4" s="113"/>
      <c r="E4" s="112" t="s">
        <v>188</v>
      </c>
      <c r="F4" s="113"/>
      <c r="G4" s="112" t="s">
        <v>188</v>
      </c>
      <c r="H4" s="112"/>
      <c r="I4" s="112" t="s">
        <v>188</v>
      </c>
      <c r="J4" s="112"/>
      <c r="K4" s="112" t="s">
        <v>188</v>
      </c>
      <c r="L4" s="112"/>
      <c r="M4" s="112" t="s">
        <v>188</v>
      </c>
      <c r="N4" s="547"/>
    </row>
    <row r="5" spans="1:14" ht="15" thickBot="1" x14ac:dyDescent="0.35">
      <c r="A5" s="558" t="s">
        <v>374</v>
      </c>
      <c r="B5" s="559"/>
      <c r="C5" s="559"/>
      <c r="D5" s="559"/>
      <c r="E5" s="559"/>
      <c r="F5" s="559"/>
      <c r="G5" s="559"/>
      <c r="H5" s="559"/>
      <c r="I5" s="559"/>
      <c r="J5" s="559"/>
      <c r="K5" s="559"/>
      <c r="L5" s="559"/>
      <c r="M5" s="559"/>
      <c r="N5" s="559"/>
    </row>
    <row r="6" spans="1:14" ht="27.6" x14ac:dyDescent="0.3">
      <c r="A6" s="300" t="s">
        <v>375</v>
      </c>
      <c r="B6" s="301">
        <v>967072</v>
      </c>
      <c r="C6" s="301">
        <v>943</v>
      </c>
      <c r="D6" s="301">
        <v>965060</v>
      </c>
      <c r="E6" s="301">
        <v>943</v>
      </c>
      <c r="F6" s="301">
        <v>967891</v>
      </c>
      <c r="G6" s="301">
        <v>944</v>
      </c>
      <c r="H6" s="301">
        <v>975394</v>
      </c>
      <c r="I6" s="301">
        <v>946</v>
      </c>
      <c r="J6" s="301">
        <v>989110</v>
      </c>
      <c r="K6" s="301">
        <v>948</v>
      </c>
      <c r="L6" s="301">
        <v>1013503</v>
      </c>
      <c r="M6" s="301">
        <v>957</v>
      </c>
      <c r="N6" s="302">
        <f>(L6-J6)/J6</f>
        <v>2.4661564436715834E-2</v>
      </c>
    </row>
    <row r="7" spans="1:14" x14ac:dyDescent="0.3">
      <c r="A7" s="300" t="s">
        <v>376</v>
      </c>
      <c r="B7" s="301">
        <v>105</v>
      </c>
      <c r="C7" s="301">
        <v>23</v>
      </c>
      <c r="D7" s="301">
        <v>102</v>
      </c>
      <c r="E7" s="301">
        <v>23</v>
      </c>
      <c r="F7" s="301">
        <v>102</v>
      </c>
      <c r="G7" s="301">
        <v>23</v>
      </c>
      <c r="H7" s="301">
        <v>103</v>
      </c>
      <c r="I7" s="301">
        <v>24</v>
      </c>
      <c r="J7" s="301">
        <v>102</v>
      </c>
      <c r="K7" s="301">
        <v>24</v>
      </c>
      <c r="L7" s="301">
        <v>101</v>
      </c>
      <c r="M7" s="301">
        <v>24</v>
      </c>
      <c r="N7" s="302">
        <f>(L7-J7)/J7</f>
        <v>-9.8039215686274508E-3</v>
      </c>
    </row>
    <row r="8" spans="1:14" x14ac:dyDescent="0.3">
      <c r="A8" s="300" t="s">
        <v>377</v>
      </c>
      <c r="B8" s="301">
        <v>15073</v>
      </c>
      <c r="C8" s="301" t="s">
        <v>378</v>
      </c>
      <c r="D8" s="301">
        <v>15073</v>
      </c>
      <c r="E8" s="301">
        <v>668</v>
      </c>
      <c r="F8" s="301">
        <v>16628</v>
      </c>
      <c r="G8" s="301">
        <v>669</v>
      </c>
      <c r="H8" s="301">
        <v>16628</v>
      </c>
      <c r="I8" s="301">
        <v>669</v>
      </c>
      <c r="J8" s="301">
        <v>16628</v>
      </c>
      <c r="K8" s="301">
        <v>668</v>
      </c>
      <c r="L8" s="301">
        <v>21589</v>
      </c>
      <c r="M8" s="301">
        <v>767</v>
      </c>
      <c r="N8" s="302">
        <f t="shared" ref="N8" si="0">(L8-J8)/J8</f>
        <v>0.29835217705075778</v>
      </c>
    </row>
    <row r="9" spans="1:14" ht="15" thickBot="1" x14ac:dyDescent="0.35">
      <c r="A9" s="300" t="s">
        <v>379</v>
      </c>
      <c r="B9" s="301">
        <v>9180</v>
      </c>
      <c r="C9" s="301">
        <v>79</v>
      </c>
      <c r="D9" s="301">
        <v>7680</v>
      </c>
      <c r="E9" s="301">
        <v>77</v>
      </c>
      <c r="F9" s="301">
        <v>8485</v>
      </c>
      <c r="G9" s="301">
        <v>79</v>
      </c>
      <c r="H9" s="301">
        <v>10350</v>
      </c>
      <c r="I9" s="301" t="s">
        <v>380</v>
      </c>
      <c r="J9" s="301">
        <v>9800</v>
      </c>
      <c r="K9" s="301">
        <v>80</v>
      </c>
      <c r="L9" s="301">
        <v>11323</v>
      </c>
      <c r="M9" s="301">
        <v>81</v>
      </c>
      <c r="N9" s="302">
        <f>(L9-J9)/J9</f>
        <v>0.15540816326530613</v>
      </c>
    </row>
    <row r="10" spans="1:14" ht="15" thickBot="1" x14ac:dyDescent="0.35">
      <c r="A10" s="300" t="s">
        <v>347</v>
      </c>
      <c r="B10" s="301"/>
      <c r="C10" s="301"/>
      <c r="D10" s="301"/>
      <c r="E10" s="301"/>
      <c r="F10" s="301"/>
      <c r="G10" s="301"/>
      <c r="H10" s="301">
        <v>3086</v>
      </c>
      <c r="I10" s="301">
        <v>941</v>
      </c>
      <c r="J10" s="301">
        <v>3136</v>
      </c>
      <c r="K10" s="301">
        <v>943</v>
      </c>
      <c r="L10" s="301">
        <v>4795</v>
      </c>
      <c r="M10" s="301">
        <v>946</v>
      </c>
      <c r="N10" s="302">
        <f>(L10-J10)/J10</f>
        <v>0.5290178571428571</v>
      </c>
    </row>
    <row r="11" spans="1:14" ht="15" thickBot="1" x14ac:dyDescent="0.35">
      <c r="A11" s="300" t="s">
        <v>349</v>
      </c>
      <c r="B11" s="301"/>
      <c r="C11" s="301"/>
      <c r="D11" s="301"/>
      <c r="E11" s="301"/>
      <c r="F11" s="301"/>
      <c r="G11" s="301"/>
      <c r="H11" s="301"/>
      <c r="I11" s="301"/>
      <c r="J11" s="301"/>
      <c r="K11" s="301"/>
      <c r="L11" s="301">
        <v>8188</v>
      </c>
      <c r="M11" s="301">
        <v>948</v>
      </c>
      <c r="N11" s="302" t="s">
        <v>181</v>
      </c>
    </row>
    <row r="12" spans="1:14" ht="15" thickBot="1" x14ac:dyDescent="0.35">
      <c r="A12" s="300" t="s">
        <v>381</v>
      </c>
      <c r="B12" s="301"/>
      <c r="C12" s="301"/>
      <c r="D12" s="301"/>
      <c r="E12" s="301"/>
      <c r="F12" s="301"/>
      <c r="G12" s="301"/>
      <c r="H12" s="301"/>
      <c r="I12" s="301"/>
      <c r="J12" s="301"/>
      <c r="K12" s="301"/>
      <c r="L12" s="301">
        <v>2542</v>
      </c>
      <c r="M12" s="301">
        <v>954</v>
      </c>
      <c r="N12" s="302" t="s">
        <v>181</v>
      </c>
    </row>
    <row r="13" spans="1:14" ht="15" thickBot="1" x14ac:dyDescent="0.35">
      <c r="A13" s="300" t="s">
        <v>348</v>
      </c>
      <c r="B13" s="301"/>
      <c r="C13" s="301"/>
      <c r="D13" s="301"/>
      <c r="E13" s="301"/>
      <c r="F13" s="301"/>
      <c r="G13" s="301"/>
      <c r="H13" s="301"/>
      <c r="I13" s="301"/>
      <c r="J13" s="301"/>
      <c r="K13" s="301"/>
      <c r="L13" s="301">
        <v>19386</v>
      </c>
      <c r="M13" s="301">
        <v>943</v>
      </c>
      <c r="N13" s="302" t="s">
        <v>181</v>
      </c>
    </row>
    <row r="14" spans="1:14" ht="15" thickBot="1" x14ac:dyDescent="0.35">
      <c r="A14" s="556" t="s">
        <v>382</v>
      </c>
      <c r="B14" s="557"/>
      <c r="C14" s="557"/>
      <c r="D14" s="557"/>
      <c r="E14" s="557"/>
      <c r="F14" s="557"/>
      <c r="G14" s="557"/>
      <c r="H14" s="557"/>
      <c r="I14" s="557"/>
      <c r="J14" s="557"/>
      <c r="K14" s="557"/>
      <c r="L14" s="557"/>
      <c r="M14" s="557"/>
      <c r="N14" s="557"/>
    </row>
    <row r="15" spans="1:14" x14ac:dyDescent="0.3">
      <c r="A15" s="300" t="s">
        <v>383</v>
      </c>
      <c r="B15" s="301">
        <v>25829</v>
      </c>
      <c r="C15" s="301">
        <v>48</v>
      </c>
      <c r="D15" s="301">
        <v>26096</v>
      </c>
      <c r="E15" s="301">
        <v>49</v>
      </c>
      <c r="F15" s="301">
        <v>26420</v>
      </c>
      <c r="G15" s="301">
        <v>49</v>
      </c>
      <c r="H15" s="301">
        <v>26085</v>
      </c>
      <c r="I15" s="301">
        <v>49</v>
      </c>
      <c r="J15" s="301">
        <v>26429</v>
      </c>
      <c r="K15" s="301">
        <v>49</v>
      </c>
      <c r="L15" s="301">
        <v>26447</v>
      </c>
      <c r="M15" s="301">
        <v>49</v>
      </c>
      <c r="N15" s="302">
        <f>(L15-J15)/J15</f>
        <v>6.8107003670210748E-4</v>
      </c>
    </row>
    <row r="16" spans="1:14" ht="15" thickBot="1" x14ac:dyDescent="0.35">
      <c r="A16" s="300" t="s">
        <v>384</v>
      </c>
      <c r="B16" s="301">
        <v>159.6</v>
      </c>
      <c r="C16" s="301">
        <v>16</v>
      </c>
      <c r="D16" s="301">
        <v>336</v>
      </c>
      <c r="E16" s="301">
        <v>21</v>
      </c>
      <c r="F16" s="301">
        <v>319</v>
      </c>
      <c r="G16" s="301">
        <v>24</v>
      </c>
      <c r="H16" s="301">
        <v>299</v>
      </c>
      <c r="I16" s="301" t="s">
        <v>385</v>
      </c>
      <c r="J16" s="301">
        <v>319</v>
      </c>
      <c r="K16" s="301">
        <v>25</v>
      </c>
      <c r="L16" s="301">
        <v>293</v>
      </c>
      <c r="M16" s="301">
        <v>24</v>
      </c>
      <c r="N16" s="302">
        <f>(L16-J16)/J16</f>
        <v>-8.1504702194357362E-2</v>
      </c>
    </row>
    <row r="17" spans="1:19" ht="15" thickBot="1" x14ac:dyDescent="0.35">
      <c r="A17" s="300" t="s">
        <v>347</v>
      </c>
      <c r="B17" s="301"/>
      <c r="C17" s="301"/>
      <c r="D17" s="301"/>
      <c r="E17" s="301"/>
      <c r="F17" s="301"/>
      <c r="G17" s="301"/>
      <c r="H17" s="301">
        <v>72</v>
      </c>
      <c r="I17" s="301">
        <v>48</v>
      </c>
      <c r="J17" s="301">
        <v>73</v>
      </c>
      <c r="K17" s="301">
        <v>49</v>
      </c>
      <c r="L17" s="301">
        <v>119</v>
      </c>
      <c r="M17" s="301">
        <v>49</v>
      </c>
      <c r="N17" s="302">
        <f>(L17-J17)/J17</f>
        <v>0.63013698630136983</v>
      </c>
    </row>
    <row r="18" spans="1:19" ht="15" thickBot="1" x14ac:dyDescent="0.35">
      <c r="A18" s="300" t="s">
        <v>349</v>
      </c>
      <c r="B18" s="301"/>
      <c r="C18" s="301"/>
      <c r="D18" s="301"/>
      <c r="E18" s="301"/>
      <c r="F18" s="301"/>
      <c r="G18" s="301"/>
      <c r="H18" s="301"/>
      <c r="I18" s="301"/>
      <c r="J18" s="301"/>
      <c r="K18" s="301"/>
      <c r="L18" s="301">
        <v>230</v>
      </c>
      <c r="M18" s="301">
        <v>49</v>
      </c>
      <c r="N18" s="302" t="s">
        <v>181</v>
      </c>
    </row>
    <row r="19" spans="1:19" ht="15" thickBot="1" x14ac:dyDescent="0.35">
      <c r="A19" s="300" t="s">
        <v>348</v>
      </c>
      <c r="B19" s="301"/>
      <c r="C19" s="301"/>
      <c r="D19" s="301"/>
      <c r="E19" s="301"/>
      <c r="F19" s="301"/>
      <c r="G19" s="301"/>
      <c r="H19" s="301"/>
      <c r="I19" s="301"/>
      <c r="J19" s="301"/>
      <c r="K19" s="301"/>
      <c r="L19" s="301">
        <v>414</v>
      </c>
      <c r="M19" s="301">
        <v>46</v>
      </c>
      <c r="N19" s="302" t="s">
        <v>181</v>
      </c>
    </row>
    <row r="20" spans="1:19" ht="15" thickBot="1" x14ac:dyDescent="0.35">
      <c r="A20" s="554" t="s">
        <v>109</v>
      </c>
      <c r="B20" s="555"/>
      <c r="C20" s="555"/>
      <c r="D20" s="555"/>
      <c r="E20" s="555"/>
      <c r="F20" s="555"/>
      <c r="G20" s="555"/>
      <c r="H20" s="555"/>
      <c r="I20" s="555"/>
      <c r="J20" s="555"/>
      <c r="K20" s="555"/>
      <c r="L20" s="555"/>
      <c r="M20" s="555"/>
      <c r="N20" s="555"/>
    </row>
    <row r="21" spans="1:19" ht="15" thickBot="1" x14ac:dyDescent="0.35">
      <c r="A21" s="314" t="s">
        <v>386</v>
      </c>
      <c r="B21" s="303">
        <v>119222</v>
      </c>
      <c r="C21" s="304">
        <v>124</v>
      </c>
      <c r="D21" s="304">
        <v>120166</v>
      </c>
      <c r="E21" s="304">
        <v>126</v>
      </c>
      <c r="F21" s="304">
        <v>121904</v>
      </c>
      <c r="G21" s="304">
        <v>126</v>
      </c>
      <c r="H21" s="304">
        <v>126000</v>
      </c>
      <c r="I21" s="304">
        <v>132</v>
      </c>
      <c r="J21" s="304">
        <v>131098</v>
      </c>
      <c r="K21" s="379">
        <v>136</v>
      </c>
      <c r="L21" s="447">
        <v>137317</v>
      </c>
      <c r="M21" s="448">
        <v>138</v>
      </c>
      <c r="N21" s="411">
        <f t="shared" ref="N21:N27" si="1">(L21-J21)/J21</f>
        <v>4.743779462692032E-2</v>
      </c>
    </row>
    <row r="22" spans="1:19" ht="15" thickBot="1" x14ac:dyDescent="0.35">
      <c r="A22" s="314" t="s">
        <v>387</v>
      </c>
      <c r="B22" s="305">
        <v>100</v>
      </c>
      <c r="C22" s="301">
        <v>5</v>
      </c>
      <c r="D22" s="301">
        <v>59</v>
      </c>
      <c r="E22" s="301">
        <v>9</v>
      </c>
      <c r="F22" s="301">
        <v>65</v>
      </c>
      <c r="G22" s="301">
        <v>5</v>
      </c>
      <c r="H22" s="301" t="s">
        <v>185</v>
      </c>
      <c r="I22" s="301" t="s">
        <v>185</v>
      </c>
      <c r="J22" s="301" t="s">
        <v>185</v>
      </c>
      <c r="K22" s="380" t="s">
        <v>185</v>
      </c>
      <c r="L22" s="449" t="s">
        <v>185</v>
      </c>
      <c r="M22" s="448" t="s">
        <v>185</v>
      </c>
      <c r="N22" s="411" t="s">
        <v>181</v>
      </c>
      <c r="S22" s="412"/>
    </row>
    <row r="23" spans="1:19" ht="15" thickBot="1" x14ac:dyDescent="0.35">
      <c r="A23" s="314" t="s">
        <v>376</v>
      </c>
      <c r="B23" s="305">
        <v>7</v>
      </c>
      <c r="C23" s="301">
        <v>7</v>
      </c>
      <c r="D23" s="301">
        <v>8</v>
      </c>
      <c r="E23" s="301">
        <v>8</v>
      </c>
      <c r="F23" s="301">
        <v>9</v>
      </c>
      <c r="G23" s="301">
        <v>9</v>
      </c>
      <c r="H23" s="301">
        <v>9</v>
      </c>
      <c r="I23" s="301">
        <v>9</v>
      </c>
      <c r="J23" s="301">
        <v>8</v>
      </c>
      <c r="K23" s="380">
        <v>8</v>
      </c>
      <c r="L23" s="449">
        <v>9</v>
      </c>
      <c r="M23" s="448">
        <v>9</v>
      </c>
      <c r="N23" s="411">
        <f t="shared" si="1"/>
        <v>0.125</v>
      </c>
    </row>
    <row r="24" spans="1:19" ht="15" thickBot="1" x14ac:dyDescent="0.35">
      <c r="A24" s="314" t="s">
        <v>388</v>
      </c>
      <c r="B24" s="305">
        <v>27064</v>
      </c>
      <c r="C24" s="301">
        <v>119</v>
      </c>
      <c r="D24" s="301">
        <v>25559</v>
      </c>
      <c r="E24" s="301">
        <v>121</v>
      </c>
      <c r="F24" s="301">
        <v>25516</v>
      </c>
      <c r="G24" s="301">
        <v>120</v>
      </c>
      <c r="H24" s="301">
        <v>26670</v>
      </c>
      <c r="I24" s="301">
        <v>125</v>
      </c>
      <c r="J24" s="301">
        <v>27242</v>
      </c>
      <c r="K24" s="380">
        <v>129</v>
      </c>
      <c r="L24" s="449">
        <v>28065</v>
      </c>
      <c r="M24" s="448">
        <v>130</v>
      </c>
      <c r="N24" s="411">
        <f t="shared" si="1"/>
        <v>3.0210704059907497E-2</v>
      </c>
    </row>
    <row r="25" spans="1:19" ht="15" thickBot="1" x14ac:dyDescent="0.35">
      <c r="A25" s="314" t="s">
        <v>389</v>
      </c>
      <c r="B25" s="305">
        <v>2347</v>
      </c>
      <c r="C25" s="301">
        <v>47</v>
      </c>
      <c r="D25" s="301">
        <v>2366</v>
      </c>
      <c r="E25" s="301">
        <v>47</v>
      </c>
      <c r="F25" s="301">
        <v>2496</v>
      </c>
      <c r="G25" s="301">
        <v>46</v>
      </c>
      <c r="H25" s="301">
        <v>2500</v>
      </c>
      <c r="I25" s="301">
        <v>46</v>
      </c>
      <c r="J25" s="301">
        <v>2618</v>
      </c>
      <c r="K25" s="380">
        <v>47</v>
      </c>
      <c r="L25" s="449">
        <v>2662</v>
      </c>
      <c r="M25" s="450">
        <v>48</v>
      </c>
      <c r="N25" s="411">
        <f t="shared" si="1"/>
        <v>1.680672268907563E-2</v>
      </c>
    </row>
    <row r="26" spans="1:19" ht="15" thickBot="1" x14ac:dyDescent="0.35">
      <c r="A26" s="315" t="s">
        <v>390</v>
      </c>
      <c r="B26" s="305">
        <v>1056</v>
      </c>
      <c r="C26" s="301">
        <v>68</v>
      </c>
      <c r="D26" s="301">
        <v>1056</v>
      </c>
      <c r="E26" s="301">
        <v>68</v>
      </c>
      <c r="F26" s="301">
        <v>1069</v>
      </c>
      <c r="G26" s="301">
        <v>67</v>
      </c>
      <c r="H26" s="301">
        <v>1069</v>
      </c>
      <c r="I26" s="301">
        <v>67</v>
      </c>
      <c r="J26" s="301">
        <v>1069</v>
      </c>
      <c r="K26" s="380">
        <v>67</v>
      </c>
      <c r="L26" s="449">
        <v>1042</v>
      </c>
      <c r="M26" s="448">
        <v>68</v>
      </c>
      <c r="N26" s="411">
        <f t="shared" si="1"/>
        <v>-2.5257249766136577E-2</v>
      </c>
    </row>
    <row r="27" spans="1:19" ht="15" thickBot="1" x14ac:dyDescent="0.35">
      <c r="A27" s="315" t="s">
        <v>391</v>
      </c>
      <c r="B27" s="305">
        <v>822</v>
      </c>
      <c r="C27" s="301">
        <v>40</v>
      </c>
      <c r="D27" s="301">
        <v>826</v>
      </c>
      <c r="E27" s="301">
        <v>43</v>
      </c>
      <c r="F27" s="301">
        <v>785</v>
      </c>
      <c r="G27" s="301">
        <v>40</v>
      </c>
      <c r="H27" s="301">
        <v>789</v>
      </c>
      <c r="I27" s="301">
        <v>41</v>
      </c>
      <c r="J27" s="301">
        <v>838</v>
      </c>
      <c r="K27" s="380">
        <v>41</v>
      </c>
      <c r="L27" s="449">
        <v>860</v>
      </c>
      <c r="M27" s="448">
        <v>43</v>
      </c>
      <c r="N27" s="411">
        <f t="shared" si="1"/>
        <v>2.6252983293556086E-2</v>
      </c>
    </row>
    <row r="28" spans="1:19" ht="15" thickBot="1" x14ac:dyDescent="0.35">
      <c r="A28" s="315" t="s">
        <v>341</v>
      </c>
      <c r="B28" s="305">
        <v>1034</v>
      </c>
      <c r="C28" s="301">
        <v>122</v>
      </c>
      <c r="D28" s="301">
        <v>1032</v>
      </c>
      <c r="E28" s="301">
        <v>124</v>
      </c>
      <c r="F28" s="301">
        <v>1040</v>
      </c>
      <c r="G28" s="301">
        <v>126</v>
      </c>
      <c r="H28" s="301">
        <v>1061</v>
      </c>
      <c r="I28" s="301">
        <v>132</v>
      </c>
      <c r="J28" s="301">
        <v>1078</v>
      </c>
      <c r="K28" s="380">
        <v>134</v>
      </c>
      <c r="L28" s="449">
        <v>1716</v>
      </c>
      <c r="M28" s="448">
        <v>138</v>
      </c>
      <c r="N28" s="411">
        <f>(L28-J28)/J28</f>
        <v>0.59183673469387754</v>
      </c>
    </row>
    <row r="29" spans="1:19" ht="15" thickBot="1" x14ac:dyDescent="0.35">
      <c r="A29" s="315" t="s">
        <v>392</v>
      </c>
      <c r="B29" s="305">
        <v>11558.5</v>
      </c>
      <c r="C29" s="301">
        <v>53</v>
      </c>
      <c r="D29" s="301" t="s">
        <v>185</v>
      </c>
      <c r="E29" s="301" t="s">
        <v>185</v>
      </c>
      <c r="F29" s="301" t="s">
        <v>185</v>
      </c>
      <c r="G29" s="301" t="s">
        <v>185</v>
      </c>
      <c r="H29" s="301" t="s">
        <v>185</v>
      </c>
      <c r="I29" s="301" t="s">
        <v>185</v>
      </c>
      <c r="J29" s="301" t="s">
        <v>185</v>
      </c>
      <c r="K29" s="380" t="s">
        <v>185</v>
      </c>
      <c r="L29" s="449" t="s">
        <v>185</v>
      </c>
      <c r="M29" s="448" t="s">
        <v>185</v>
      </c>
      <c r="N29" s="411" t="s">
        <v>181</v>
      </c>
    </row>
    <row r="30" spans="1:19" ht="15" thickBot="1" x14ac:dyDescent="0.35">
      <c r="A30" s="315" t="s">
        <v>393</v>
      </c>
      <c r="B30" s="305">
        <v>1450</v>
      </c>
      <c r="C30" s="301">
        <v>12</v>
      </c>
      <c r="D30" s="301" t="s">
        <v>185</v>
      </c>
      <c r="E30" s="301" t="s">
        <v>185</v>
      </c>
      <c r="F30" s="301" t="s">
        <v>185</v>
      </c>
      <c r="G30" s="301" t="s">
        <v>185</v>
      </c>
      <c r="H30" s="301" t="s">
        <v>185</v>
      </c>
      <c r="I30" s="301" t="s">
        <v>185</v>
      </c>
      <c r="J30" s="301" t="s">
        <v>185</v>
      </c>
      <c r="K30" s="380" t="s">
        <v>185</v>
      </c>
      <c r="L30" s="449" t="s">
        <v>185</v>
      </c>
      <c r="M30" s="448" t="s">
        <v>185</v>
      </c>
      <c r="N30" s="411" t="s">
        <v>181</v>
      </c>
    </row>
    <row r="31" spans="1:19" ht="15" thickBot="1" x14ac:dyDescent="0.35">
      <c r="A31" s="315" t="s">
        <v>362</v>
      </c>
      <c r="B31" s="301" t="s">
        <v>185</v>
      </c>
      <c r="C31" s="301" t="s">
        <v>185</v>
      </c>
      <c r="D31" s="301">
        <v>11573.5</v>
      </c>
      <c r="E31" s="301">
        <v>53</v>
      </c>
      <c r="F31" s="301">
        <v>11399.5</v>
      </c>
      <c r="G31" s="301">
        <v>53</v>
      </c>
      <c r="H31" s="301">
        <v>11173</v>
      </c>
      <c r="I31" s="301">
        <v>66</v>
      </c>
      <c r="J31" s="301">
        <v>10227</v>
      </c>
      <c r="K31" s="380">
        <v>52</v>
      </c>
      <c r="L31" s="449">
        <v>13055</v>
      </c>
      <c r="M31" s="448">
        <v>50</v>
      </c>
      <c r="N31" s="411">
        <f>(L31-J31)/J31</f>
        <v>0.27652292950034224</v>
      </c>
    </row>
    <row r="32" spans="1:19" ht="15" thickBot="1" x14ac:dyDescent="0.35">
      <c r="A32" s="315" t="s">
        <v>394</v>
      </c>
      <c r="B32" s="301" t="s">
        <v>185</v>
      </c>
      <c r="C32" s="301" t="s">
        <v>185</v>
      </c>
      <c r="D32" s="301">
        <v>1724</v>
      </c>
      <c r="E32" s="301">
        <v>73</v>
      </c>
      <c r="F32" s="301">
        <v>3657.5</v>
      </c>
      <c r="G32" s="301">
        <v>77</v>
      </c>
      <c r="H32" s="301">
        <v>6352</v>
      </c>
      <c r="I32" s="301">
        <v>87</v>
      </c>
      <c r="J32" s="301">
        <v>11501</v>
      </c>
      <c r="K32" s="380">
        <v>90</v>
      </c>
      <c r="L32" s="449">
        <v>11931</v>
      </c>
      <c r="M32" s="448">
        <v>90</v>
      </c>
      <c r="N32" s="411">
        <f t="shared" ref="N32:N34" si="2">(L32-J32)/J32</f>
        <v>3.7388053212764109E-2</v>
      </c>
    </row>
    <row r="33" spans="1:14" ht="15" thickBot="1" x14ac:dyDescent="0.35">
      <c r="A33" s="315" t="s">
        <v>395</v>
      </c>
      <c r="B33" s="301" t="s">
        <v>185</v>
      </c>
      <c r="C33" s="301" t="s">
        <v>185</v>
      </c>
      <c r="D33" s="301">
        <v>1983</v>
      </c>
      <c r="E33" s="301">
        <v>74</v>
      </c>
      <c r="F33" s="301">
        <v>2179</v>
      </c>
      <c r="G33" s="301">
        <v>73</v>
      </c>
      <c r="H33" s="301">
        <v>3023</v>
      </c>
      <c r="I33" s="301" t="s">
        <v>396</v>
      </c>
      <c r="J33" s="301">
        <v>4293</v>
      </c>
      <c r="K33" s="380">
        <v>82</v>
      </c>
      <c r="L33" s="449">
        <v>4768</v>
      </c>
      <c r="M33" s="448">
        <v>81</v>
      </c>
      <c r="N33" s="411">
        <f t="shared" si="2"/>
        <v>0.11064523643139995</v>
      </c>
    </row>
    <row r="34" spans="1:14" ht="15" thickBot="1" x14ac:dyDescent="0.35">
      <c r="A34" s="315" t="s">
        <v>397</v>
      </c>
      <c r="B34" s="301" t="s">
        <v>185</v>
      </c>
      <c r="C34" s="301" t="s">
        <v>185</v>
      </c>
      <c r="D34" s="301" t="s">
        <v>185</v>
      </c>
      <c r="E34" s="301" t="s">
        <v>185</v>
      </c>
      <c r="F34" s="306">
        <v>381</v>
      </c>
      <c r="G34" s="306">
        <v>16</v>
      </c>
      <c r="H34" s="306">
        <v>382</v>
      </c>
      <c r="I34" s="306" t="s">
        <v>398</v>
      </c>
      <c r="J34" s="306">
        <v>395</v>
      </c>
      <c r="K34" s="381">
        <v>17</v>
      </c>
      <c r="L34" s="447">
        <v>391.5</v>
      </c>
      <c r="M34" s="450">
        <v>19</v>
      </c>
      <c r="N34" s="411">
        <f t="shared" si="2"/>
        <v>-8.8607594936708865E-3</v>
      </c>
    </row>
    <row r="35" spans="1:14" ht="15" thickBot="1" x14ac:dyDescent="0.35">
      <c r="A35" s="300" t="s">
        <v>347</v>
      </c>
      <c r="B35" s="301"/>
      <c r="C35" s="301"/>
      <c r="D35" s="301"/>
      <c r="E35" s="301"/>
      <c r="F35" s="301"/>
      <c r="G35" s="301"/>
      <c r="H35" s="301">
        <v>491</v>
      </c>
      <c r="I35" s="301">
        <v>124</v>
      </c>
      <c r="J35" s="301">
        <v>499</v>
      </c>
      <c r="K35" s="380">
        <v>130</v>
      </c>
      <c r="L35" s="451">
        <v>732</v>
      </c>
      <c r="M35" s="452">
        <v>135</v>
      </c>
      <c r="N35" s="302">
        <f>(L35-J35)/J35</f>
        <v>0.46693386773547096</v>
      </c>
    </row>
    <row r="36" spans="1:14" ht="15" thickBot="1" x14ac:dyDescent="0.35">
      <c r="A36" s="300" t="s">
        <v>349</v>
      </c>
      <c r="B36" s="301"/>
      <c r="C36" s="301"/>
      <c r="D36" s="301"/>
      <c r="E36" s="301"/>
      <c r="F36" s="301"/>
      <c r="G36" s="301"/>
      <c r="H36" s="301"/>
      <c r="I36" s="301"/>
      <c r="J36" s="301"/>
      <c r="K36" s="301"/>
      <c r="L36" s="301">
        <v>1146</v>
      </c>
      <c r="M36" s="301">
        <v>135</v>
      </c>
      <c r="N36" s="302" t="s">
        <v>181</v>
      </c>
    </row>
    <row r="37" spans="1:14" ht="15" thickBot="1" x14ac:dyDescent="0.35">
      <c r="A37" s="300" t="s">
        <v>350</v>
      </c>
      <c r="B37" s="301"/>
      <c r="C37" s="301"/>
      <c r="D37" s="301"/>
      <c r="E37" s="301"/>
      <c r="F37" s="301"/>
      <c r="G37" s="301"/>
      <c r="H37" s="301"/>
      <c r="I37" s="301"/>
      <c r="J37" s="301"/>
      <c r="K37" s="301"/>
      <c r="L37" s="301">
        <v>340</v>
      </c>
      <c r="M37" s="301">
        <v>135</v>
      </c>
      <c r="N37" s="302" t="s">
        <v>181</v>
      </c>
    </row>
    <row r="38" spans="1:14" ht="15" thickBot="1" x14ac:dyDescent="0.35">
      <c r="A38" s="300" t="s">
        <v>348</v>
      </c>
      <c r="B38" s="301"/>
      <c r="C38" s="301"/>
      <c r="D38" s="301"/>
      <c r="E38" s="301"/>
      <c r="F38" s="301"/>
      <c r="G38" s="301"/>
      <c r="H38" s="301"/>
      <c r="I38" s="301"/>
      <c r="J38" s="301"/>
      <c r="K38" s="301"/>
      <c r="L38" s="301">
        <v>900</v>
      </c>
      <c r="M38" s="301">
        <v>129</v>
      </c>
      <c r="N38" s="302" t="s">
        <v>181</v>
      </c>
    </row>
    <row r="39" spans="1:14" x14ac:dyDescent="0.3">
      <c r="A39" s="552" t="s">
        <v>181</v>
      </c>
      <c r="B39" s="553"/>
      <c r="C39" s="553"/>
      <c r="D39" s="553"/>
      <c r="E39" s="553"/>
      <c r="F39" s="553"/>
      <c r="G39" s="553"/>
      <c r="H39" s="553"/>
      <c r="I39" s="553"/>
      <c r="J39" s="553"/>
      <c r="K39" s="553"/>
      <c r="L39" s="553"/>
      <c r="M39" s="553"/>
      <c r="N39" s="553"/>
    </row>
    <row r="40" spans="1:14" x14ac:dyDescent="0.3">
      <c r="A40" s="307" t="s">
        <v>399</v>
      </c>
      <c r="B40" s="301">
        <v>1539</v>
      </c>
      <c r="C40" s="301">
        <v>3</v>
      </c>
      <c r="D40" s="301">
        <v>1449</v>
      </c>
      <c r="E40" s="301">
        <v>3</v>
      </c>
      <c r="F40" s="301">
        <v>1576</v>
      </c>
      <c r="G40" s="301">
        <v>3</v>
      </c>
      <c r="H40" s="308">
        <v>1417</v>
      </c>
      <c r="I40" s="301">
        <v>3</v>
      </c>
      <c r="J40" s="301">
        <v>1423</v>
      </c>
      <c r="K40" s="301">
        <v>3</v>
      </c>
      <c r="L40" s="301">
        <v>1503</v>
      </c>
      <c r="M40" s="301">
        <v>3</v>
      </c>
      <c r="N40" s="382">
        <f>(L40-J40)/J40</f>
        <v>5.621925509486999E-2</v>
      </c>
    </row>
    <row r="41" spans="1:14" x14ac:dyDescent="0.3">
      <c r="A41" s="307" t="s">
        <v>400</v>
      </c>
      <c r="B41" s="301">
        <v>157</v>
      </c>
      <c r="C41" s="301">
        <v>3</v>
      </c>
      <c r="D41" s="301">
        <v>166</v>
      </c>
      <c r="E41" s="301">
        <v>3</v>
      </c>
      <c r="F41" s="301">
        <v>166</v>
      </c>
      <c r="G41" s="301">
        <v>3</v>
      </c>
      <c r="H41" s="309">
        <v>147</v>
      </c>
      <c r="I41" s="301">
        <v>3</v>
      </c>
      <c r="J41" s="301">
        <v>151</v>
      </c>
      <c r="K41" s="301">
        <v>3</v>
      </c>
      <c r="L41" s="301">
        <v>158</v>
      </c>
      <c r="M41" s="301">
        <v>3</v>
      </c>
      <c r="N41" s="382">
        <f t="shared" ref="N41:N42" si="3">(L41-J41)/J41</f>
        <v>4.6357615894039736E-2</v>
      </c>
    </row>
    <row r="42" spans="1:14" x14ac:dyDescent="0.3">
      <c r="A42" s="307" t="s">
        <v>401</v>
      </c>
      <c r="B42" s="301">
        <v>709</v>
      </c>
      <c r="C42" s="310">
        <v>1</v>
      </c>
      <c r="D42" s="301">
        <v>709</v>
      </c>
      <c r="E42" s="301">
        <v>1</v>
      </c>
      <c r="F42" s="301">
        <v>709</v>
      </c>
      <c r="G42" s="301">
        <v>1</v>
      </c>
      <c r="H42" s="309">
        <v>709</v>
      </c>
      <c r="I42" s="301">
        <v>1</v>
      </c>
      <c r="J42" s="301">
        <v>709</v>
      </c>
      <c r="K42" s="301">
        <v>1</v>
      </c>
      <c r="L42" s="301">
        <v>709</v>
      </c>
      <c r="M42" s="301">
        <v>1</v>
      </c>
      <c r="N42" s="382">
        <f t="shared" si="3"/>
        <v>0</v>
      </c>
    </row>
    <row r="43" spans="1:14" x14ac:dyDescent="0.3">
      <c r="A43" s="550" t="s">
        <v>402</v>
      </c>
      <c r="B43" s="551"/>
      <c r="C43" s="551"/>
      <c r="D43" s="551"/>
      <c r="E43" s="551"/>
      <c r="F43" s="551"/>
      <c r="G43" s="551"/>
      <c r="H43" s="551"/>
      <c r="I43" s="551"/>
      <c r="J43" s="551"/>
      <c r="K43" s="551"/>
      <c r="L43" s="551"/>
      <c r="M43" s="551"/>
      <c r="N43" s="551"/>
    </row>
    <row r="44" spans="1:14" x14ac:dyDescent="0.3">
      <c r="A44" s="307" t="s">
        <v>341</v>
      </c>
      <c r="B44" s="301">
        <v>19428</v>
      </c>
      <c r="C44" s="301">
        <v>1071</v>
      </c>
      <c r="D44" s="301">
        <v>19410</v>
      </c>
      <c r="E44" s="301">
        <v>1073</v>
      </c>
      <c r="F44" s="301">
        <v>19548</v>
      </c>
      <c r="G44" s="301">
        <v>1076</v>
      </c>
      <c r="H44" s="301">
        <v>19780</v>
      </c>
      <c r="I44" s="301">
        <v>1084</v>
      </c>
      <c r="J44" s="301">
        <v>20098</v>
      </c>
      <c r="K44" s="301">
        <v>1098</v>
      </c>
      <c r="L44" s="301">
        <v>32423</v>
      </c>
      <c r="M44" s="301">
        <v>1101</v>
      </c>
      <c r="N44" s="302">
        <f>(L44-J44)/J44</f>
        <v>0.61324509901482738</v>
      </c>
    </row>
    <row r="45" spans="1:14" x14ac:dyDescent="0.3">
      <c r="A45" s="307" t="s">
        <v>403</v>
      </c>
      <c r="B45" s="301">
        <v>508</v>
      </c>
      <c r="C45" s="301">
        <v>26</v>
      </c>
      <c r="D45" s="301">
        <v>327</v>
      </c>
      <c r="E45" s="301">
        <v>27</v>
      </c>
      <c r="F45" s="301">
        <v>322</v>
      </c>
      <c r="G45" s="301">
        <v>29</v>
      </c>
      <c r="H45" s="301" t="s">
        <v>185</v>
      </c>
      <c r="I45" s="301" t="s">
        <v>185</v>
      </c>
      <c r="J45" s="301" t="s">
        <v>185</v>
      </c>
      <c r="K45" s="301" t="s">
        <v>185</v>
      </c>
      <c r="L45" s="301" t="s">
        <v>185</v>
      </c>
      <c r="M45" s="301" t="s">
        <v>185</v>
      </c>
      <c r="N45" s="301" t="s">
        <v>181</v>
      </c>
    </row>
    <row r="46" spans="1:14" x14ac:dyDescent="0.3">
      <c r="A46" s="550" t="s">
        <v>404</v>
      </c>
      <c r="B46" s="551"/>
      <c r="C46" s="551"/>
      <c r="D46" s="551"/>
      <c r="E46" s="551"/>
      <c r="F46" s="551"/>
      <c r="G46" s="551"/>
      <c r="H46" s="551"/>
      <c r="I46" s="551"/>
      <c r="J46" s="551"/>
      <c r="K46" s="551"/>
      <c r="L46" s="551"/>
      <c r="M46" s="551"/>
      <c r="N46" s="551"/>
    </row>
    <row r="47" spans="1:14" x14ac:dyDescent="0.3">
      <c r="A47" s="307" t="s">
        <v>405</v>
      </c>
      <c r="B47" s="301">
        <v>20000</v>
      </c>
      <c r="C47" s="301">
        <v>116</v>
      </c>
      <c r="D47" s="301">
        <v>20000</v>
      </c>
      <c r="E47" s="301">
        <v>116</v>
      </c>
      <c r="F47" s="301">
        <v>20000</v>
      </c>
      <c r="G47" s="301">
        <v>116</v>
      </c>
      <c r="H47" s="301">
        <v>20000</v>
      </c>
      <c r="I47" s="301">
        <v>116</v>
      </c>
      <c r="J47" s="301">
        <v>20000</v>
      </c>
      <c r="K47" s="301">
        <v>116</v>
      </c>
      <c r="L47" s="301">
        <v>20000</v>
      </c>
      <c r="M47" s="301">
        <v>116</v>
      </c>
      <c r="N47" s="302">
        <f>(L47-J47)/J47</f>
        <v>0</v>
      </c>
    </row>
    <row r="48" spans="1:14" x14ac:dyDescent="0.3">
      <c r="A48" s="307" t="s">
        <v>406</v>
      </c>
      <c r="B48" s="301">
        <v>635284</v>
      </c>
      <c r="C48" s="301">
        <v>116</v>
      </c>
      <c r="D48" s="301">
        <v>635765</v>
      </c>
      <c r="E48" s="301">
        <v>116</v>
      </c>
      <c r="F48" s="301">
        <v>635655</v>
      </c>
      <c r="G48" s="301">
        <v>116</v>
      </c>
      <c r="H48" s="311">
        <v>641555</v>
      </c>
      <c r="I48" s="312">
        <v>116</v>
      </c>
      <c r="J48" s="301">
        <v>661004</v>
      </c>
      <c r="K48" s="313">
        <v>116</v>
      </c>
      <c r="L48" s="301">
        <v>676538</v>
      </c>
      <c r="M48" s="313">
        <v>116</v>
      </c>
      <c r="N48" s="302">
        <f>(L48-J48)/J48</f>
        <v>2.3500614217160563E-2</v>
      </c>
    </row>
    <row r="49" spans="1:14" ht="15" thickBot="1" x14ac:dyDescent="0.35">
      <c r="A49" s="550" t="s">
        <v>407</v>
      </c>
      <c r="B49" s="551"/>
      <c r="C49" s="551"/>
      <c r="D49" s="551"/>
      <c r="E49" s="551"/>
      <c r="F49" s="551"/>
      <c r="G49" s="551"/>
      <c r="H49" s="551"/>
      <c r="I49" s="551"/>
      <c r="J49" s="551"/>
      <c r="K49" s="551"/>
      <c r="L49" s="551"/>
      <c r="M49" s="551"/>
      <c r="N49" s="551"/>
    </row>
    <row r="50" spans="1:14" ht="15" thickBot="1" x14ac:dyDescent="0.35">
      <c r="A50" s="307" t="s">
        <v>406</v>
      </c>
      <c r="B50" s="301">
        <v>7332</v>
      </c>
      <c r="C50" s="313">
        <v>18</v>
      </c>
      <c r="D50" s="301">
        <v>7279</v>
      </c>
      <c r="E50" s="313">
        <v>19</v>
      </c>
      <c r="F50" s="313">
        <v>7356</v>
      </c>
      <c r="G50" s="313">
        <v>19</v>
      </c>
      <c r="H50" s="311">
        <v>7845</v>
      </c>
      <c r="I50" s="312">
        <v>20</v>
      </c>
      <c r="J50" s="301">
        <v>5353</v>
      </c>
      <c r="K50" s="313">
        <v>17</v>
      </c>
      <c r="L50" s="301">
        <v>5473</v>
      </c>
      <c r="M50" s="313">
        <v>18</v>
      </c>
      <c r="N50" s="302">
        <f>(L50-J50)/J50</f>
        <v>2.2417336073229963E-2</v>
      </c>
    </row>
    <row r="51" spans="1:14" ht="15" thickBot="1" x14ac:dyDescent="0.35">
      <c r="A51" s="550" t="s">
        <v>408</v>
      </c>
      <c r="B51" s="551"/>
      <c r="C51" s="551"/>
      <c r="D51" s="551"/>
      <c r="E51" s="551"/>
      <c r="F51" s="551"/>
      <c r="G51" s="551"/>
      <c r="H51" s="551"/>
      <c r="I51" s="551"/>
      <c r="J51" s="551"/>
      <c r="K51" s="551"/>
      <c r="L51" s="551"/>
      <c r="M51" s="551"/>
      <c r="N51" s="551"/>
    </row>
    <row r="52" spans="1:14" ht="15" thickBot="1" x14ac:dyDescent="0.35">
      <c r="A52" s="307" t="s">
        <v>406</v>
      </c>
      <c r="B52" s="301">
        <v>13161</v>
      </c>
      <c r="C52" s="313">
        <v>39</v>
      </c>
      <c r="D52" s="301">
        <v>12113</v>
      </c>
      <c r="E52" s="313">
        <v>39</v>
      </c>
      <c r="F52" s="313">
        <v>11599</v>
      </c>
      <c r="G52" s="313">
        <v>39</v>
      </c>
      <c r="H52" s="311">
        <v>11584</v>
      </c>
      <c r="I52" s="312">
        <v>42</v>
      </c>
      <c r="J52" s="301">
        <v>6745</v>
      </c>
      <c r="K52" s="313">
        <v>29</v>
      </c>
      <c r="L52" s="301">
        <v>7085</v>
      </c>
      <c r="M52" s="313">
        <v>29</v>
      </c>
      <c r="N52" s="302">
        <f>(L52-J52)/J52</f>
        <v>5.0407709414381024E-2</v>
      </c>
    </row>
  </sheetData>
  <mergeCells count="16">
    <mergeCell ref="N3:N4"/>
    <mergeCell ref="F3:G3"/>
    <mergeCell ref="A49:N49"/>
    <mergeCell ref="A51:N51"/>
    <mergeCell ref="A46:N46"/>
    <mergeCell ref="A43:N43"/>
    <mergeCell ref="A39:N39"/>
    <mergeCell ref="A20:N20"/>
    <mergeCell ref="A14:N14"/>
    <mergeCell ref="A5:N5"/>
    <mergeCell ref="A3:A4"/>
    <mergeCell ref="B3:C3"/>
    <mergeCell ref="D3:E3"/>
    <mergeCell ref="H3:I3"/>
    <mergeCell ref="J3:K3"/>
    <mergeCell ref="L3:M3"/>
  </mergeCells>
  <hyperlinks>
    <hyperlink ref="A1" location="Inhoud!A1" display="Terug naar inhoud" xr:uid="{8B0B0ACE-FF91-497B-8166-7F442AF7D26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5AE16-2257-4BC5-B5C4-9C1EEBE6E938}">
  <sheetPr codeName="Blad25"/>
  <dimension ref="A1:K7"/>
  <sheetViews>
    <sheetView workbookViewId="0">
      <selection activeCell="A2" sqref="A2"/>
    </sheetView>
  </sheetViews>
  <sheetFormatPr defaultColWidth="9.109375" defaultRowHeight="14.4" x14ac:dyDescent="0.3"/>
  <cols>
    <col min="1" max="1" width="22.88671875" style="34" bestFit="1" customWidth="1"/>
    <col min="2" max="2" width="9.6640625" style="34" bestFit="1" customWidth="1"/>
    <col min="3" max="7" width="9.6640625" style="34" customWidth="1"/>
    <col min="8" max="8" width="15.44140625" style="34" customWidth="1"/>
    <col min="9" max="9" width="8.88671875" style="34" bestFit="1" customWidth="1"/>
    <col min="10" max="10" width="4" style="34" bestFit="1" customWidth="1"/>
    <col min="11" max="11" width="10" style="34" bestFit="1" customWidth="1"/>
    <col min="12" max="12" width="4" style="34" bestFit="1" customWidth="1"/>
    <col min="13" max="14" width="17.88671875" style="34" bestFit="1" customWidth="1"/>
    <col min="15" max="16384" width="9.109375" style="34"/>
  </cols>
  <sheetData>
    <row r="1" spans="1:11" x14ac:dyDescent="0.3">
      <c r="A1" s="375" t="s">
        <v>95</v>
      </c>
    </row>
    <row r="2" spans="1:11" x14ac:dyDescent="0.3">
      <c r="A2" s="60" t="s">
        <v>409</v>
      </c>
      <c r="B2" s="60"/>
    </row>
    <row r="3" spans="1:11" ht="43.2" x14ac:dyDescent="0.3">
      <c r="A3" s="75" t="s">
        <v>410</v>
      </c>
      <c r="B3" s="228" t="s">
        <v>97</v>
      </c>
      <c r="C3" s="229" t="s">
        <v>98</v>
      </c>
      <c r="D3" s="228" t="s">
        <v>99</v>
      </c>
      <c r="E3" s="228" t="s">
        <v>100</v>
      </c>
      <c r="F3" s="228" t="s">
        <v>101</v>
      </c>
      <c r="G3" s="228" t="s">
        <v>102</v>
      </c>
      <c r="H3" s="233" t="s">
        <v>116</v>
      </c>
    </row>
    <row r="4" spans="1:11" x14ac:dyDescent="0.3">
      <c r="A4" s="77" t="s">
        <v>170</v>
      </c>
      <c r="B4" s="190">
        <v>673.91</v>
      </c>
      <c r="C4" s="151">
        <v>673.91</v>
      </c>
      <c r="D4" s="242">
        <v>694.68</v>
      </c>
      <c r="E4" s="105">
        <v>697.7</v>
      </c>
      <c r="F4" s="105">
        <v>701.77</v>
      </c>
      <c r="G4" s="105">
        <v>705.41</v>
      </c>
      <c r="H4" s="244">
        <v>5.1999999999999998E-3</v>
      </c>
      <c r="I4" s="115"/>
      <c r="K4" s="453"/>
    </row>
    <row r="5" spans="1:11" x14ac:dyDescent="0.3">
      <c r="A5" s="77" t="s">
        <v>157</v>
      </c>
      <c r="B5" s="190">
        <v>1953.83</v>
      </c>
      <c r="C5" s="181">
        <v>1953.83</v>
      </c>
      <c r="D5" s="102">
        <v>2006.49</v>
      </c>
      <c r="E5" s="102">
        <v>2029.16</v>
      </c>
      <c r="F5" s="102">
        <v>2045.71</v>
      </c>
      <c r="G5" s="102">
        <v>2060.79</v>
      </c>
      <c r="H5" s="244">
        <v>7.4000000000000003E-3</v>
      </c>
      <c r="I5" s="115"/>
    </row>
    <row r="6" spans="1:11" x14ac:dyDescent="0.3">
      <c r="A6" s="77" t="s">
        <v>158</v>
      </c>
      <c r="B6" s="190">
        <v>248.69</v>
      </c>
      <c r="C6" s="151">
        <v>248.69</v>
      </c>
      <c r="D6" s="242">
        <v>265.29000000000002</v>
      </c>
      <c r="E6" s="242">
        <v>272.52</v>
      </c>
      <c r="F6" s="242">
        <v>277.77999999999997</v>
      </c>
      <c r="G6" s="242">
        <v>283.64</v>
      </c>
      <c r="H6" s="244">
        <v>2.1100000000000001E-2</v>
      </c>
      <c r="I6" s="115"/>
    </row>
    <row r="7" spans="1:11" x14ac:dyDescent="0.3">
      <c r="A7" s="124" t="s">
        <v>113</v>
      </c>
      <c r="B7" s="191">
        <v>2876.43</v>
      </c>
      <c r="C7" s="189">
        <v>2876.43</v>
      </c>
      <c r="D7" s="104">
        <v>2966.46</v>
      </c>
      <c r="E7" s="104">
        <v>2999.38</v>
      </c>
      <c r="F7" s="104">
        <v>3025.26</v>
      </c>
      <c r="G7" s="104">
        <f>SUM(G4:G6)</f>
        <v>3049.8399999999997</v>
      </c>
      <c r="H7" s="244">
        <v>8.0999999999999996E-3</v>
      </c>
      <c r="I7" s="115"/>
    </row>
  </sheetData>
  <hyperlinks>
    <hyperlink ref="A1" location="Inhoud!A1" display="Terug naar inhoud" xr:uid="{CD2CE6A9-2A5A-4EC0-9B02-4E32D3B7D687}"/>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45A25-5A04-4C27-8D11-CEFA82609320}">
  <sheetPr codeName="Blad26"/>
  <dimension ref="A1:S8"/>
  <sheetViews>
    <sheetView workbookViewId="0">
      <selection activeCell="A2" sqref="A2"/>
    </sheetView>
  </sheetViews>
  <sheetFormatPr defaultColWidth="9.109375" defaultRowHeight="14.4" x14ac:dyDescent="0.3"/>
  <cols>
    <col min="1" max="1" width="6.88671875" style="7" bestFit="1" customWidth="1"/>
    <col min="2" max="16" width="7.6640625" style="7" customWidth="1"/>
    <col min="17" max="16384" width="9.109375" style="7"/>
  </cols>
  <sheetData>
    <row r="1" spans="1:19" x14ac:dyDescent="0.3">
      <c r="A1" s="375" t="s">
        <v>95</v>
      </c>
    </row>
    <row r="2" spans="1:19" x14ac:dyDescent="0.3">
      <c r="A2" s="8" t="s">
        <v>411</v>
      </c>
    </row>
    <row r="3" spans="1:19" x14ac:dyDescent="0.3">
      <c r="A3" s="564" t="s">
        <v>412</v>
      </c>
      <c r="B3" s="563" t="s">
        <v>327</v>
      </c>
      <c r="C3" s="563"/>
      <c r="D3" s="563"/>
      <c r="E3" s="563" t="s">
        <v>413</v>
      </c>
      <c r="F3" s="563"/>
      <c r="G3" s="563"/>
      <c r="H3" s="563" t="s">
        <v>414</v>
      </c>
      <c r="I3" s="563"/>
      <c r="J3" s="563"/>
      <c r="K3" s="563" t="s">
        <v>100</v>
      </c>
      <c r="L3" s="563"/>
      <c r="M3" s="563"/>
      <c r="N3" s="563" t="s">
        <v>101</v>
      </c>
      <c r="O3" s="563"/>
      <c r="P3" s="563"/>
      <c r="Q3" s="563" t="s">
        <v>102</v>
      </c>
      <c r="R3" s="563"/>
      <c r="S3" s="563"/>
    </row>
    <row r="4" spans="1:19" ht="76.5" customHeight="1" x14ac:dyDescent="0.3">
      <c r="A4" s="564"/>
      <c r="B4" s="197" t="s">
        <v>141</v>
      </c>
      <c r="C4" s="197" t="s">
        <v>415</v>
      </c>
      <c r="D4" s="197" t="s">
        <v>416</v>
      </c>
      <c r="E4" s="197" t="s">
        <v>417</v>
      </c>
      <c r="F4" s="197" t="s">
        <v>415</v>
      </c>
      <c r="G4" s="197" t="s">
        <v>416</v>
      </c>
      <c r="H4" s="197" t="s">
        <v>417</v>
      </c>
      <c r="I4" s="197" t="s">
        <v>415</v>
      </c>
      <c r="J4" s="197" t="s">
        <v>416</v>
      </c>
      <c r="K4" s="197" t="s">
        <v>417</v>
      </c>
      <c r="L4" s="197" t="s">
        <v>415</v>
      </c>
      <c r="M4" s="197" t="s">
        <v>416</v>
      </c>
      <c r="N4" s="197" t="s">
        <v>417</v>
      </c>
      <c r="O4" s="197" t="s">
        <v>415</v>
      </c>
      <c r="P4" s="197" t="s">
        <v>416</v>
      </c>
      <c r="Q4" s="197" t="s">
        <v>417</v>
      </c>
      <c r="R4" s="197" t="s">
        <v>415</v>
      </c>
      <c r="S4" s="197" t="s">
        <v>416</v>
      </c>
    </row>
    <row r="5" spans="1:19" x14ac:dyDescent="0.3">
      <c r="A5" s="56" t="s">
        <v>209</v>
      </c>
      <c r="B5" s="192" t="s">
        <v>418</v>
      </c>
      <c r="C5" s="192" t="s">
        <v>418</v>
      </c>
      <c r="D5" s="195" t="s">
        <v>419</v>
      </c>
      <c r="E5" s="192" t="s">
        <v>418</v>
      </c>
      <c r="F5" s="192" t="s">
        <v>418</v>
      </c>
      <c r="G5" s="194">
        <v>136.19999999999999</v>
      </c>
      <c r="H5" s="192">
        <v>29</v>
      </c>
      <c r="I5" s="192">
        <v>29</v>
      </c>
      <c r="J5" s="194">
        <v>134.1</v>
      </c>
      <c r="K5" s="192">
        <v>28</v>
      </c>
      <c r="L5" s="192">
        <v>28</v>
      </c>
      <c r="M5" s="194">
        <v>125.8</v>
      </c>
      <c r="N5" s="192">
        <v>26</v>
      </c>
      <c r="O5" s="192">
        <v>26</v>
      </c>
      <c r="P5" s="194">
        <v>125.9</v>
      </c>
      <c r="Q5" s="206">
        <v>25</v>
      </c>
      <c r="R5" s="206">
        <v>25</v>
      </c>
      <c r="S5" s="454">
        <v>127.28</v>
      </c>
    </row>
    <row r="6" spans="1:19" x14ac:dyDescent="0.3">
      <c r="A6" s="56" t="s">
        <v>157</v>
      </c>
      <c r="B6" s="192" t="s">
        <v>420</v>
      </c>
      <c r="C6" s="192" t="s">
        <v>420</v>
      </c>
      <c r="D6" s="192" t="s">
        <v>421</v>
      </c>
      <c r="E6" s="192" t="s">
        <v>422</v>
      </c>
      <c r="F6" s="192" t="s">
        <v>422</v>
      </c>
      <c r="G6" s="192">
        <v>237</v>
      </c>
      <c r="H6" s="192">
        <v>106</v>
      </c>
      <c r="I6" s="192">
        <v>106</v>
      </c>
      <c r="J6" s="194">
        <v>241.5</v>
      </c>
      <c r="K6" s="192">
        <v>108</v>
      </c>
      <c r="L6" s="192">
        <v>108</v>
      </c>
      <c r="M6" s="194">
        <v>244.3</v>
      </c>
      <c r="N6" s="192">
        <v>110</v>
      </c>
      <c r="O6" s="192">
        <v>110</v>
      </c>
      <c r="P6" s="194">
        <v>249.07</v>
      </c>
      <c r="Q6" s="34">
        <v>110</v>
      </c>
      <c r="R6" s="206">
        <v>110</v>
      </c>
      <c r="S6" s="454">
        <v>248.07</v>
      </c>
    </row>
    <row r="7" spans="1:19" x14ac:dyDescent="0.3">
      <c r="A7" s="56" t="s">
        <v>158</v>
      </c>
      <c r="B7" s="192" t="s">
        <v>423</v>
      </c>
      <c r="C7" s="192" t="s">
        <v>423</v>
      </c>
      <c r="D7" s="192" t="s">
        <v>424</v>
      </c>
      <c r="E7" s="192" t="s">
        <v>425</v>
      </c>
      <c r="F7" s="192" t="s">
        <v>425</v>
      </c>
      <c r="G7" s="194">
        <v>11.5</v>
      </c>
      <c r="H7" s="192">
        <v>6</v>
      </c>
      <c r="I7" s="192">
        <v>6</v>
      </c>
      <c r="J7" s="192">
        <v>14</v>
      </c>
      <c r="K7" s="192">
        <v>6</v>
      </c>
      <c r="L7" s="192">
        <v>6</v>
      </c>
      <c r="M7" s="192">
        <v>14</v>
      </c>
      <c r="N7" s="192">
        <v>5</v>
      </c>
      <c r="O7" s="192">
        <v>5</v>
      </c>
      <c r="P7" s="192">
        <v>11</v>
      </c>
      <c r="Q7" s="206">
        <v>6</v>
      </c>
      <c r="R7" s="206">
        <v>6</v>
      </c>
      <c r="S7" s="206">
        <v>14</v>
      </c>
    </row>
    <row r="8" spans="1:19" x14ac:dyDescent="0.3">
      <c r="A8" s="121" t="s">
        <v>426</v>
      </c>
      <c r="B8" s="193" t="s">
        <v>427</v>
      </c>
      <c r="C8" s="193" t="s">
        <v>427</v>
      </c>
      <c r="D8" s="196">
        <v>382.1</v>
      </c>
      <c r="E8" s="193" t="s">
        <v>428</v>
      </c>
      <c r="F8" s="193" t="s">
        <v>428</v>
      </c>
      <c r="G8" s="196">
        <v>384.7</v>
      </c>
      <c r="H8" s="193">
        <v>141</v>
      </c>
      <c r="I8" s="193">
        <v>141</v>
      </c>
      <c r="J8" s="196">
        <v>389.6</v>
      </c>
      <c r="K8" s="193">
        <v>142</v>
      </c>
      <c r="L8" s="193">
        <v>142</v>
      </c>
      <c r="M8" s="196">
        <v>384.1</v>
      </c>
      <c r="N8" s="193">
        <v>141</v>
      </c>
      <c r="O8" s="193">
        <v>141</v>
      </c>
      <c r="P8" s="196">
        <v>385.97</v>
      </c>
      <c r="Q8" s="455">
        <v>385.97</v>
      </c>
      <c r="R8" s="455">
        <v>385.97</v>
      </c>
      <c r="S8" s="455">
        <v>385.97</v>
      </c>
    </row>
  </sheetData>
  <mergeCells count="7">
    <mergeCell ref="Q3:S3"/>
    <mergeCell ref="H3:J3"/>
    <mergeCell ref="A3:A4"/>
    <mergeCell ref="B3:D3"/>
    <mergeCell ref="E3:G3"/>
    <mergeCell ref="N3:P3"/>
    <mergeCell ref="K3:M3"/>
  </mergeCells>
  <hyperlinks>
    <hyperlink ref="A1" location="Inhoud!A1" display="Terug naar inhoud" xr:uid="{F7B06CE3-F5EF-4C91-8C38-02705605AF49}"/>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B0F53-B11A-4299-B3A5-7AF55F3CA6FB}">
  <sheetPr codeName="Blad27"/>
  <dimension ref="A1:N10"/>
  <sheetViews>
    <sheetView workbookViewId="0">
      <selection activeCell="A2" sqref="A2"/>
    </sheetView>
  </sheetViews>
  <sheetFormatPr defaultColWidth="9.109375" defaultRowHeight="14.4" x14ac:dyDescent="0.3"/>
  <cols>
    <col min="1" max="1" width="40.33203125" style="52" bestFit="1" customWidth="1"/>
    <col min="2" max="2" width="6.5546875" style="34" bestFit="1" customWidth="1"/>
    <col min="3" max="3" width="4" style="34" bestFit="1" customWidth="1"/>
    <col min="4" max="4" width="6.5546875" style="34" bestFit="1" customWidth="1"/>
    <col min="5" max="5" width="4" style="34" bestFit="1" customWidth="1"/>
    <col min="6" max="6" width="6.5546875" style="34" bestFit="1" customWidth="1"/>
    <col min="7" max="7" width="4" style="34" bestFit="1" customWidth="1"/>
    <col min="8" max="8" width="6.5546875" style="34" bestFit="1" customWidth="1"/>
    <col min="9" max="9" width="4" style="34" bestFit="1" customWidth="1"/>
    <col min="10" max="10" width="6.33203125" style="34" customWidth="1"/>
    <col min="11" max="11" width="4.44140625" style="34" customWidth="1"/>
    <col min="12" max="12" width="8.44140625" style="34" customWidth="1"/>
    <col min="13" max="13" width="8.88671875" style="34" customWidth="1"/>
    <col min="14" max="14" width="11.33203125" style="34" customWidth="1"/>
    <col min="15" max="16384" width="9.109375" style="34"/>
  </cols>
  <sheetData>
    <row r="1" spans="1:14" x14ac:dyDescent="0.3">
      <c r="A1" s="375" t="s">
        <v>95</v>
      </c>
    </row>
    <row r="2" spans="1:14" x14ac:dyDescent="0.3">
      <c r="A2" s="60" t="s">
        <v>429</v>
      </c>
    </row>
    <row r="3" spans="1:14" x14ac:dyDescent="0.3">
      <c r="A3" s="565"/>
      <c r="B3" s="482" t="s">
        <v>97</v>
      </c>
      <c r="C3" s="482"/>
      <c r="D3" s="482" t="s">
        <v>98</v>
      </c>
      <c r="E3" s="482"/>
      <c r="F3" s="482" t="s">
        <v>99</v>
      </c>
      <c r="G3" s="482"/>
      <c r="H3" s="482" t="s">
        <v>100</v>
      </c>
      <c r="I3" s="482"/>
      <c r="J3" s="482" t="s">
        <v>101</v>
      </c>
      <c r="K3" s="482"/>
      <c r="L3" s="482" t="s">
        <v>102</v>
      </c>
      <c r="M3" s="482"/>
      <c r="N3" s="499" t="s">
        <v>116</v>
      </c>
    </row>
    <row r="4" spans="1:14" ht="49.5" customHeight="1" x14ac:dyDescent="0.3">
      <c r="A4" s="565"/>
      <c r="B4" s="72" t="s">
        <v>430</v>
      </c>
      <c r="C4" s="73" t="s">
        <v>431</v>
      </c>
      <c r="D4" s="72" t="s">
        <v>430</v>
      </c>
      <c r="E4" s="73" t="s">
        <v>431</v>
      </c>
      <c r="F4" s="72" t="s">
        <v>430</v>
      </c>
      <c r="G4" s="73" t="s">
        <v>431</v>
      </c>
      <c r="H4" s="72" t="s">
        <v>430</v>
      </c>
      <c r="I4" s="73" t="s">
        <v>431</v>
      </c>
      <c r="J4" s="72" t="s">
        <v>430</v>
      </c>
      <c r="K4" s="73" t="s">
        <v>431</v>
      </c>
      <c r="L4" s="72" t="s">
        <v>430</v>
      </c>
      <c r="M4" s="73" t="s">
        <v>431</v>
      </c>
      <c r="N4" s="500"/>
    </row>
    <row r="5" spans="1:14" x14ac:dyDescent="0.3">
      <c r="A5" s="236" t="s">
        <v>386</v>
      </c>
      <c r="B5" s="65">
        <v>77550</v>
      </c>
      <c r="C5" s="64">
        <v>168</v>
      </c>
      <c r="D5" s="65">
        <v>77657</v>
      </c>
      <c r="E5" s="64">
        <v>168</v>
      </c>
      <c r="F5" s="65">
        <v>78350</v>
      </c>
      <c r="G5" s="64">
        <v>168</v>
      </c>
      <c r="H5" s="65">
        <v>80030</v>
      </c>
      <c r="I5" s="64">
        <v>168</v>
      </c>
      <c r="J5" s="65">
        <v>82691</v>
      </c>
      <c r="K5" s="64">
        <v>167</v>
      </c>
      <c r="L5" s="65">
        <v>83086</v>
      </c>
      <c r="M5" s="64">
        <v>165</v>
      </c>
      <c r="N5" s="244">
        <f>(L5-J5)/J5</f>
        <v>4.7768197264514882E-3</v>
      </c>
    </row>
    <row r="6" spans="1:14" x14ac:dyDescent="0.3">
      <c r="A6" s="236" t="s">
        <v>432</v>
      </c>
      <c r="B6" s="65">
        <v>10335</v>
      </c>
      <c r="C6" s="64">
        <v>168</v>
      </c>
      <c r="D6" s="65">
        <v>10366</v>
      </c>
      <c r="E6" s="64">
        <v>168</v>
      </c>
      <c r="F6" s="65">
        <v>10532</v>
      </c>
      <c r="G6" s="64">
        <v>168</v>
      </c>
      <c r="H6" s="65">
        <v>11161</v>
      </c>
      <c r="I6" s="64">
        <v>168</v>
      </c>
      <c r="J6" s="65">
        <v>11390</v>
      </c>
      <c r="K6" s="64">
        <v>167</v>
      </c>
      <c r="L6" s="65">
        <v>11171</v>
      </c>
      <c r="M6" s="64">
        <v>165</v>
      </c>
      <c r="N6" s="244">
        <f t="shared" ref="N6:N10" si="0">(L6-J6)/J6</f>
        <v>-1.9227392449517121E-2</v>
      </c>
    </row>
    <row r="7" spans="1:14" x14ac:dyDescent="0.3">
      <c r="A7" s="236" t="s">
        <v>433</v>
      </c>
      <c r="B7" s="65">
        <v>1768</v>
      </c>
      <c r="C7" s="64">
        <v>167</v>
      </c>
      <c r="D7" s="65">
        <v>1782</v>
      </c>
      <c r="E7" s="64">
        <v>167</v>
      </c>
      <c r="F7" s="65">
        <v>1803</v>
      </c>
      <c r="G7" s="64">
        <v>167</v>
      </c>
      <c r="H7" s="65">
        <v>1952</v>
      </c>
      <c r="I7" s="64">
        <v>167</v>
      </c>
      <c r="J7" s="65">
        <v>1993</v>
      </c>
      <c r="K7" s="64">
        <v>166</v>
      </c>
      <c r="L7" s="65">
        <v>3874</v>
      </c>
      <c r="M7" s="64">
        <v>165</v>
      </c>
      <c r="N7" s="244">
        <f t="shared" si="0"/>
        <v>0.94380331159056696</v>
      </c>
    </row>
    <row r="8" spans="1:14" x14ac:dyDescent="0.3">
      <c r="A8" s="236" t="s">
        <v>365</v>
      </c>
      <c r="B8" s="64" t="s">
        <v>181</v>
      </c>
      <c r="C8" s="64" t="s">
        <v>181</v>
      </c>
      <c r="D8" s="64" t="s">
        <v>181</v>
      </c>
      <c r="E8" s="64" t="s">
        <v>181</v>
      </c>
      <c r="F8" s="64" t="s">
        <v>181</v>
      </c>
      <c r="G8" s="64" t="s">
        <v>181</v>
      </c>
      <c r="H8" s="64">
        <v>323</v>
      </c>
      <c r="I8" s="64">
        <v>159</v>
      </c>
      <c r="J8" s="64">
        <v>337</v>
      </c>
      <c r="K8" s="64">
        <v>161</v>
      </c>
      <c r="L8" s="64">
        <v>457</v>
      </c>
      <c r="M8" s="64">
        <v>163</v>
      </c>
      <c r="N8" s="244">
        <f t="shared" si="0"/>
        <v>0.35608308605341249</v>
      </c>
    </row>
    <row r="9" spans="1:14" x14ac:dyDescent="0.3">
      <c r="A9" s="236" t="s">
        <v>434</v>
      </c>
      <c r="B9" s="64" t="s">
        <v>181</v>
      </c>
      <c r="C9" s="64" t="s">
        <v>181</v>
      </c>
      <c r="D9" s="64" t="s">
        <v>181</v>
      </c>
      <c r="E9" s="64" t="s">
        <v>181</v>
      </c>
      <c r="F9" s="64" t="s">
        <v>181</v>
      </c>
      <c r="G9" s="64" t="s">
        <v>181</v>
      </c>
      <c r="H9" s="65">
        <v>1506</v>
      </c>
      <c r="I9" s="64">
        <v>147</v>
      </c>
      <c r="J9" s="65">
        <v>822</v>
      </c>
      <c r="K9" s="64">
        <v>151</v>
      </c>
      <c r="L9" s="65">
        <v>82</v>
      </c>
      <c r="M9" s="64">
        <v>60</v>
      </c>
      <c r="N9" s="244">
        <f t="shared" si="0"/>
        <v>-0.9002433090024331</v>
      </c>
    </row>
    <row r="10" spans="1:14" x14ac:dyDescent="0.3">
      <c r="A10" s="236" t="s">
        <v>435</v>
      </c>
      <c r="B10" s="64" t="s">
        <v>181</v>
      </c>
      <c r="C10" s="64" t="s">
        <v>181</v>
      </c>
      <c r="D10" s="64" t="s">
        <v>181</v>
      </c>
      <c r="E10" s="64" t="s">
        <v>181</v>
      </c>
      <c r="F10" s="64" t="s">
        <v>181</v>
      </c>
      <c r="G10" s="64" t="s">
        <v>181</v>
      </c>
      <c r="H10" s="65">
        <v>2925</v>
      </c>
      <c r="I10" s="64">
        <v>58</v>
      </c>
      <c r="J10" s="65">
        <v>5930</v>
      </c>
      <c r="K10" s="64">
        <v>86</v>
      </c>
      <c r="L10" s="65">
        <v>8478</v>
      </c>
      <c r="M10" s="64">
        <v>99</v>
      </c>
      <c r="N10" s="244">
        <f t="shared" si="0"/>
        <v>0.42967959527824623</v>
      </c>
    </row>
  </sheetData>
  <mergeCells count="8">
    <mergeCell ref="N3:N4"/>
    <mergeCell ref="B3:C3"/>
    <mergeCell ref="A3:A4"/>
    <mergeCell ref="D3:E3"/>
    <mergeCell ref="F3:G3"/>
    <mergeCell ref="H3:I3"/>
    <mergeCell ref="J3:K3"/>
    <mergeCell ref="L3:M3"/>
  </mergeCells>
  <hyperlinks>
    <hyperlink ref="A1" location="Inhoud!A1" display="Terug naar inhoud" xr:uid="{60B564D0-20CE-49AD-999A-C82B4E859103}"/>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5F68-3A9A-4F08-8D04-9A92923F829F}">
  <sheetPr codeName="Blad28"/>
  <dimension ref="A1:AG9"/>
  <sheetViews>
    <sheetView workbookViewId="0">
      <selection activeCell="A2" sqref="A2"/>
    </sheetView>
  </sheetViews>
  <sheetFormatPr defaultColWidth="9.109375" defaultRowHeight="14.4" x14ac:dyDescent="0.3"/>
  <cols>
    <col min="1" max="1" width="20.6640625" style="52" customWidth="1"/>
    <col min="2" max="4" width="3.6640625" style="52" customWidth="1"/>
    <col min="5" max="6" width="4" style="52" bestFit="1" customWidth="1"/>
    <col min="7" max="9" width="3.6640625" style="34" bestFit="1" customWidth="1"/>
    <col min="10" max="11" width="4" style="34" bestFit="1" customWidth="1"/>
    <col min="12" max="14" width="3.6640625" style="34" bestFit="1" customWidth="1"/>
    <col min="15" max="16" width="4" style="34" bestFit="1" customWidth="1"/>
    <col min="17" max="21" width="4" style="34" customWidth="1"/>
    <col min="22" max="24" width="3.6640625" style="34" bestFit="1" customWidth="1"/>
    <col min="25" max="26" width="4" style="34" bestFit="1" customWidth="1"/>
    <col min="27" max="29" width="3.5546875" style="34" bestFit="1" customWidth="1"/>
    <col min="30" max="31" width="4" style="34" bestFit="1" customWidth="1"/>
    <col min="32" max="16384" width="9.109375" style="34"/>
  </cols>
  <sheetData>
    <row r="1" spans="1:33" x14ac:dyDescent="0.3">
      <c r="A1" s="375" t="s">
        <v>95</v>
      </c>
    </row>
    <row r="2" spans="1:33" x14ac:dyDescent="0.3">
      <c r="A2" s="60" t="s">
        <v>436</v>
      </c>
      <c r="B2" s="60"/>
      <c r="C2" s="60"/>
      <c r="D2" s="60"/>
      <c r="E2" s="60"/>
      <c r="F2" s="60"/>
    </row>
    <row r="3" spans="1:33" s="74" customFormat="1" x14ac:dyDescent="0.3">
      <c r="A3" s="164"/>
      <c r="B3" s="566" t="s">
        <v>97</v>
      </c>
      <c r="C3" s="567"/>
      <c r="D3" s="567"/>
      <c r="E3" s="567"/>
      <c r="F3" s="568"/>
      <c r="G3" s="484" t="s">
        <v>98</v>
      </c>
      <c r="H3" s="482"/>
      <c r="I3" s="482"/>
      <c r="J3" s="482"/>
      <c r="K3" s="482"/>
      <c r="L3" s="482" t="s">
        <v>99</v>
      </c>
      <c r="M3" s="482"/>
      <c r="N3" s="482"/>
      <c r="O3" s="482"/>
      <c r="P3" s="482"/>
      <c r="Q3" s="482" t="s">
        <v>100</v>
      </c>
      <c r="R3" s="482"/>
      <c r="S3" s="482"/>
      <c r="T3" s="482"/>
      <c r="U3" s="482"/>
      <c r="V3" s="482" t="s">
        <v>101</v>
      </c>
      <c r="W3" s="482"/>
      <c r="X3" s="482"/>
      <c r="Y3" s="482"/>
      <c r="Z3" s="482"/>
      <c r="AA3" s="482" t="s">
        <v>102</v>
      </c>
      <c r="AB3" s="482"/>
      <c r="AC3" s="482"/>
      <c r="AD3" s="482"/>
      <c r="AE3" s="482"/>
      <c r="AF3" s="34"/>
      <c r="AG3" s="34"/>
    </row>
    <row r="4" spans="1:33" ht="61.2" x14ac:dyDescent="0.3">
      <c r="A4" s="75"/>
      <c r="B4" s="199" t="s">
        <v>170</v>
      </c>
      <c r="C4" s="199" t="s">
        <v>437</v>
      </c>
      <c r="D4" s="199" t="s">
        <v>438</v>
      </c>
      <c r="E4" s="199" t="s">
        <v>439</v>
      </c>
      <c r="F4" s="199" t="s">
        <v>113</v>
      </c>
      <c r="G4" s="76" t="s">
        <v>170</v>
      </c>
      <c r="H4" s="76" t="s">
        <v>437</v>
      </c>
      <c r="I4" s="76" t="s">
        <v>438</v>
      </c>
      <c r="J4" s="76" t="s">
        <v>439</v>
      </c>
      <c r="K4" s="76" t="s">
        <v>113</v>
      </c>
      <c r="L4" s="76" t="s">
        <v>170</v>
      </c>
      <c r="M4" s="76" t="s">
        <v>437</v>
      </c>
      <c r="N4" s="76" t="s">
        <v>438</v>
      </c>
      <c r="O4" s="76" t="s">
        <v>439</v>
      </c>
      <c r="P4" s="76" t="s">
        <v>113</v>
      </c>
      <c r="Q4" s="76" t="s">
        <v>170</v>
      </c>
      <c r="R4" s="76" t="s">
        <v>437</v>
      </c>
      <c r="S4" s="76" t="s">
        <v>438</v>
      </c>
      <c r="T4" s="76" t="s">
        <v>439</v>
      </c>
      <c r="U4" s="76" t="s">
        <v>113</v>
      </c>
      <c r="V4" s="76" t="s">
        <v>170</v>
      </c>
      <c r="W4" s="76" t="s">
        <v>437</v>
      </c>
      <c r="X4" s="76" t="s">
        <v>438</v>
      </c>
      <c r="Y4" s="76" t="s">
        <v>439</v>
      </c>
      <c r="Z4" s="76" t="s">
        <v>113</v>
      </c>
      <c r="AA4" s="72" t="s">
        <v>170</v>
      </c>
      <c r="AB4" s="72" t="s">
        <v>437</v>
      </c>
      <c r="AC4" s="72" t="s">
        <v>438</v>
      </c>
      <c r="AD4" s="72" t="s">
        <v>439</v>
      </c>
      <c r="AE4" s="72" t="s">
        <v>113</v>
      </c>
    </row>
    <row r="5" spans="1:33" ht="47.25" customHeight="1" x14ac:dyDescent="0.3">
      <c r="A5" s="124" t="s">
        <v>440</v>
      </c>
      <c r="B5" s="232">
        <v>76</v>
      </c>
      <c r="C5" s="232">
        <v>63</v>
      </c>
      <c r="D5" s="232">
        <v>10</v>
      </c>
      <c r="E5" s="232">
        <v>234</v>
      </c>
      <c r="F5" s="232">
        <v>383</v>
      </c>
      <c r="G5" s="232">
        <v>78</v>
      </c>
      <c r="H5" s="232">
        <v>64</v>
      </c>
      <c r="I5" s="232">
        <v>9</v>
      </c>
      <c r="J5" s="232">
        <v>236</v>
      </c>
      <c r="K5" s="232">
        <v>387</v>
      </c>
      <c r="L5" s="232">
        <v>79</v>
      </c>
      <c r="M5" s="232">
        <v>64</v>
      </c>
      <c r="N5" s="232">
        <v>10</v>
      </c>
      <c r="O5" s="232">
        <v>236</v>
      </c>
      <c r="P5" s="232">
        <v>389</v>
      </c>
      <c r="Q5" s="232">
        <v>81</v>
      </c>
      <c r="R5" s="232">
        <v>64</v>
      </c>
      <c r="S5" s="232">
        <v>10</v>
      </c>
      <c r="T5" s="232">
        <v>238</v>
      </c>
      <c r="U5" s="232">
        <v>393</v>
      </c>
      <c r="V5" s="232">
        <v>83</v>
      </c>
      <c r="W5" s="232">
        <v>65</v>
      </c>
      <c r="X5" s="232">
        <v>10</v>
      </c>
      <c r="Y5" s="232">
        <v>241</v>
      </c>
      <c r="Z5" s="232">
        <f>V5+W5+X5+Y5</f>
        <v>399</v>
      </c>
      <c r="AA5" s="232">
        <f>SUM(AA6:AA8)</f>
        <v>85</v>
      </c>
      <c r="AB5" s="232">
        <f t="shared" ref="AB5:AD5" si="0">SUM(AB6:AB8)</f>
        <v>66</v>
      </c>
      <c r="AC5" s="232">
        <f t="shared" si="0"/>
        <v>10</v>
      </c>
      <c r="AD5" s="232">
        <f t="shared" si="0"/>
        <v>244</v>
      </c>
      <c r="AE5" s="232">
        <f>SUM(AA5:AD5)</f>
        <v>405</v>
      </c>
    </row>
    <row r="6" spans="1:33" x14ac:dyDescent="0.3">
      <c r="A6" s="77" t="s">
        <v>441</v>
      </c>
      <c r="B6" s="242">
        <v>29</v>
      </c>
      <c r="C6" s="242">
        <v>39</v>
      </c>
      <c r="D6" s="242">
        <v>0</v>
      </c>
      <c r="E6" s="242">
        <v>98</v>
      </c>
      <c r="F6" s="232">
        <v>166</v>
      </c>
      <c r="G6" s="242">
        <v>30</v>
      </c>
      <c r="H6" s="242">
        <v>40</v>
      </c>
      <c r="I6" s="242">
        <v>0</v>
      </c>
      <c r="J6" s="242">
        <v>99</v>
      </c>
      <c r="K6" s="232">
        <v>169</v>
      </c>
      <c r="L6" s="242">
        <v>30</v>
      </c>
      <c r="M6" s="242">
        <v>40</v>
      </c>
      <c r="N6" s="242">
        <v>0</v>
      </c>
      <c r="O6" s="242">
        <v>100</v>
      </c>
      <c r="P6" s="232">
        <v>170</v>
      </c>
      <c r="Q6" s="242">
        <v>31</v>
      </c>
      <c r="R6" s="242">
        <v>40</v>
      </c>
      <c r="S6" s="242">
        <v>0</v>
      </c>
      <c r="T6" s="242">
        <v>101</v>
      </c>
      <c r="U6" s="232">
        <v>172</v>
      </c>
      <c r="V6" s="242">
        <v>32</v>
      </c>
      <c r="W6" s="242">
        <v>40</v>
      </c>
      <c r="X6" s="242">
        <v>0</v>
      </c>
      <c r="Y6" s="242">
        <v>103</v>
      </c>
      <c r="Z6" s="232">
        <f t="shared" ref="Z6:Z9" si="1">V6+W6+X6+Y6</f>
        <v>175</v>
      </c>
      <c r="AA6" s="242">
        <v>32</v>
      </c>
      <c r="AB6" s="242">
        <v>41</v>
      </c>
      <c r="AC6" s="242">
        <v>0</v>
      </c>
      <c r="AD6" s="242">
        <v>105</v>
      </c>
      <c r="AE6" s="232">
        <f t="shared" ref="AE6:AE8" si="2">SUM(AA6:AD6)</f>
        <v>178</v>
      </c>
    </row>
    <row r="7" spans="1:33" ht="28.8" x14ac:dyDescent="0.3">
      <c r="A7" s="77" t="s">
        <v>442</v>
      </c>
      <c r="B7" s="242">
        <v>45</v>
      </c>
      <c r="C7" s="242">
        <v>23</v>
      </c>
      <c r="D7" s="242">
        <v>9</v>
      </c>
      <c r="E7" s="242">
        <v>131</v>
      </c>
      <c r="F7" s="232">
        <v>208</v>
      </c>
      <c r="G7" s="242">
        <v>46</v>
      </c>
      <c r="H7" s="242">
        <v>23</v>
      </c>
      <c r="I7" s="242">
        <v>8</v>
      </c>
      <c r="J7" s="242">
        <v>131</v>
      </c>
      <c r="K7" s="232">
        <v>208</v>
      </c>
      <c r="L7" s="242">
        <v>47</v>
      </c>
      <c r="M7" s="242">
        <v>23</v>
      </c>
      <c r="N7" s="242">
        <v>9</v>
      </c>
      <c r="O7" s="242">
        <v>131</v>
      </c>
      <c r="P7" s="232">
        <v>210</v>
      </c>
      <c r="Q7" s="242">
        <v>48</v>
      </c>
      <c r="R7" s="242">
        <v>23</v>
      </c>
      <c r="S7" s="242">
        <v>9</v>
      </c>
      <c r="T7" s="242">
        <v>131</v>
      </c>
      <c r="U7" s="232">
        <v>211</v>
      </c>
      <c r="V7" s="242">
        <v>49</v>
      </c>
      <c r="W7" s="242">
        <v>24</v>
      </c>
      <c r="X7" s="242">
        <v>9</v>
      </c>
      <c r="Y7" s="242">
        <v>132</v>
      </c>
      <c r="Z7" s="232">
        <f t="shared" si="1"/>
        <v>214</v>
      </c>
      <c r="AA7" s="242">
        <v>51</v>
      </c>
      <c r="AB7" s="242">
        <v>24</v>
      </c>
      <c r="AC7" s="242">
        <v>9</v>
      </c>
      <c r="AD7" s="242">
        <v>133</v>
      </c>
      <c r="AE7" s="232">
        <f t="shared" si="2"/>
        <v>217</v>
      </c>
    </row>
    <row r="8" spans="1:33" x14ac:dyDescent="0.3">
      <c r="A8" s="77" t="s">
        <v>443</v>
      </c>
      <c r="B8" s="242">
        <v>2</v>
      </c>
      <c r="C8" s="242">
        <v>1</v>
      </c>
      <c r="D8" s="242">
        <v>1</v>
      </c>
      <c r="E8" s="242">
        <v>5</v>
      </c>
      <c r="F8" s="232">
        <v>9</v>
      </c>
      <c r="G8" s="242">
        <v>2</v>
      </c>
      <c r="H8" s="242">
        <v>1</v>
      </c>
      <c r="I8" s="242">
        <v>1</v>
      </c>
      <c r="J8" s="242">
        <v>6</v>
      </c>
      <c r="K8" s="232">
        <v>10</v>
      </c>
      <c r="L8" s="242">
        <v>2</v>
      </c>
      <c r="M8" s="242">
        <v>1</v>
      </c>
      <c r="N8" s="242">
        <v>1</v>
      </c>
      <c r="O8" s="242">
        <v>5</v>
      </c>
      <c r="P8" s="232">
        <v>9</v>
      </c>
      <c r="Q8" s="242">
        <v>2</v>
      </c>
      <c r="R8" s="242">
        <v>1</v>
      </c>
      <c r="S8" s="242">
        <v>1</v>
      </c>
      <c r="T8" s="242">
        <v>6</v>
      </c>
      <c r="U8" s="232">
        <v>10</v>
      </c>
      <c r="V8" s="242">
        <v>2</v>
      </c>
      <c r="W8" s="242">
        <v>1</v>
      </c>
      <c r="X8" s="242">
        <v>1</v>
      </c>
      <c r="Y8" s="242">
        <v>6</v>
      </c>
      <c r="Z8" s="232">
        <f t="shared" si="1"/>
        <v>10</v>
      </c>
      <c r="AA8" s="242">
        <v>2</v>
      </c>
      <c r="AB8" s="242">
        <v>1</v>
      </c>
      <c r="AC8" s="242">
        <v>1</v>
      </c>
      <c r="AD8" s="242">
        <v>6</v>
      </c>
      <c r="AE8" s="232">
        <f t="shared" si="2"/>
        <v>10</v>
      </c>
    </row>
    <row r="9" spans="1:33" ht="28.8" x14ac:dyDescent="0.3">
      <c r="A9" s="77" t="s">
        <v>444</v>
      </c>
      <c r="B9" s="242">
        <v>3</v>
      </c>
      <c r="C9" s="242">
        <v>3</v>
      </c>
      <c r="D9" s="242">
        <v>1</v>
      </c>
      <c r="E9" s="242">
        <v>8</v>
      </c>
      <c r="F9" s="232">
        <v>15</v>
      </c>
      <c r="G9" s="242">
        <v>3</v>
      </c>
      <c r="H9" s="242">
        <v>3</v>
      </c>
      <c r="I9" s="242">
        <v>1</v>
      </c>
      <c r="J9" s="242">
        <v>8</v>
      </c>
      <c r="K9" s="232">
        <v>15</v>
      </c>
      <c r="L9" s="242">
        <v>3</v>
      </c>
      <c r="M9" s="242">
        <v>3</v>
      </c>
      <c r="N9" s="242">
        <v>1</v>
      </c>
      <c r="O9" s="242">
        <v>8</v>
      </c>
      <c r="P9" s="232">
        <v>15</v>
      </c>
      <c r="Q9" s="242">
        <v>3</v>
      </c>
      <c r="R9" s="242">
        <v>3</v>
      </c>
      <c r="S9" s="242">
        <v>1</v>
      </c>
      <c r="T9" s="242">
        <v>8</v>
      </c>
      <c r="U9" s="232">
        <v>15</v>
      </c>
      <c r="V9" s="242">
        <v>3</v>
      </c>
      <c r="W9" s="242">
        <v>3</v>
      </c>
      <c r="X9" s="242">
        <v>1</v>
      </c>
      <c r="Y9" s="242">
        <v>8</v>
      </c>
      <c r="Z9" s="232">
        <f t="shared" si="1"/>
        <v>15</v>
      </c>
      <c r="AA9" s="242">
        <v>3</v>
      </c>
      <c r="AB9" s="242">
        <v>3</v>
      </c>
      <c r="AC9" s="242">
        <v>1</v>
      </c>
      <c r="AD9" s="242">
        <v>8</v>
      </c>
      <c r="AE9" s="232">
        <f t="shared" ref="AE9" si="3">AA9+AB9+AC9+AD9</f>
        <v>15</v>
      </c>
    </row>
  </sheetData>
  <mergeCells count="6">
    <mergeCell ref="AA3:AE3"/>
    <mergeCell ref="G3:K3"/>
    <mergeCell ref="L3:P3"/>
    <mergeCell ref="V3:Z3"/>
    <mergeCell ref="B3:F3"/>
    <mergeCell ref="Q3:U3"/>
  </mergeCells>
  <hyperlinks>
    <hyperlink ref="A1" location="Inhoud!A1" display="Terug naar inhoud" xr:uid="{33FE7C3B-5977-4DA9-B275-AC511AD5BF5A}"/>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8E28C-12E1-4179-9506-8CD6F8AFDF4F}">
  <sheetPr codeName="Blad29"/>
  <dimension ref="A1:O12"/>
  <sheetViews>
    <sheetView workbookViewId="0">
      <selection activeCell="A3" sqref="A3"/>
    </sheetView>
  </sheetViews>
  <sheetFormatPr defaultColWidth="9.109375" defaultRowHeight="14.4" x14ac:dyDescent="0.3"/>
  <cols>
    <col min="1" max="1" width="29.109375" style="7" customWidth="1"/>
    <col min="2" max="4" width="10.5546875" style="7" customWidth="1"/>
    <col min="5" max="6" width="9.6640625" style="7" bestFit="1" customWidth="1"/>
    <col min="7" max="16384" width="9.109375" style="7"/>
  </cols>
  <sheetData>
    <row r="1" spans="1:15" x14ac:dyDescent="0.3">
      <c r="A1" s="375" t="s">
        <v>95</v>
      </c>
    </row>
    <row r="2" spans="1:15" x14ac:dyDescent="0.3">
      <c r="A2" s="8" t="s">
        <v>445</v>
      </c>
    </row>
    <row r="3" spans="1:15" x14ac:dyDescent="0.3">
      <c r="A3" s="200" t="s">
        <v>446</v>
      </c>
      <c r="B3" s="253" t="s">
        <v>98</v>
      </c>
      <c r="C3" s="257" t="s">
        <v>99</v>
      </c>
      <c r="D3" s="251" t="s">
        <v>100</v>
      </c>
      <c r="E3" s="198" t="s">
        <v>101</v>
      </c>
      <c r="F3" s="198" t="s">
        <v>102</v>
      </c>
      <c r="G3" s="456" t="s">
        <v>447</v>
      </c>
      <c r="H3" s="258"/>
      <c r="I3" s="258"/>
      <c r="J3" s="258"/>
      <c r="K3" s="258"/>
      <c r="L3" s="258"/>
      <c r="M3" s="258"/>
      <c r="N3"/>
      <c r="O3"/>
    </row>
    <row r="4" spans="1:15" x14ac:dyDescent="0.3">
      <c r="A4" s="201" t="s">
        <v>448</v>
      </c>
      <c r="B4" s="202">
        <v>0</v>
      </c>
      <c r="C4" s="203">
        <v>9</v>
      </c>
      <c r="D4" s="202">
        <v>1</v>
      </c>
      <c r="E4" s="318">
        <v>5</v>
      </c>
      <c r="F4" s="318">
        <v>1</v>
      </c>
      <c r="G4" s="33">
        <v>2</v>
      </c>
    </row>
    <row r="5" spans="1:15" ht="28.8" x14ac:dyDescent="0.3">
      <c r="A5" s="201" t="s">
        <v>449</v>
      </c>
      <c r="B5" s="202">
        <v>10</v>
      </c>
      <c r="C5" s="203">
        <v>11</v>
      </c>
      <c r="D5" s="202">
        <v>17</v>
      </c>
      <c r="E5" s="30">
        <v>31</v>
      </c>
      <c r="F5" s="30">
        <v>14</v>
      </c>
      <c r="G5" s="33">
        <v>8</v>
      </c>
    </row>
    <row r="6" spans="1:15" x14ac:dyDescent="0.3">
      <c r="A6" s="201" t="s">
        <v>450</v>
      </c>
      <c r="B6" s="202">
        <v>1</v>
      </c>
      <c r="C6" s="203">
        <v>0</v>
      </c>
      <c r="D6" s="202">
        <v>0</v>
      </c>
      <c r="E6" s="30">
        <v>0</v>
      </c>
      <c r="F6" s="30">
        <v>2</v>
      </c>
      <c r="G6" s="33">
        <v>0</v>
      </c>
    </row>
    <row r="7" spans="1:15" x14ac:dyDescent="0.3">
      <c r="A7" s="201" t="s">
        <v>451</v>
      </c>
      <c r="B7" s="202">
        <v>0</v>
      </c>
      <c r="C7" s="203">
        <v>3</v>
      </c>
      <c r="D7" s="202">
        <v>1</v>
      </c>
      <c r="E7" s="30">
        <v>1</v>
      </c>
      <c r="F7" s="30">
        <v>3</v>
      </c>
      <c r="G7" s="33">
        <v>0</v>
      </c>
    </row>
    <row r="8" spans="1:15" x14ac:dyDescent="0.3">
      <c r="A8" s="201" t="s">
        <v>452</v>
      </c>
      <c r="B8" s="202">
        <v>13</v>
      </c>
      <c r="C8" s="203">
        <v>13</v>
      </c>
      <c r="D8" s="202">
        <v>28</v>
      </c>
      <c r="E8" s="30">
        <v>13</v>
      </c>
      <c r="F8" s="30">
        <v>17</v>
      </c>
      <c r="G8" s="33">
        <v>11</v>
      </c>
    </row>
    <row r="9" spans="1:15" x14ac:dyDescent="0.3">
      <c r="A9" s="201" t="s">
        <v>453</v>
      </c>
      <c r="B9" s="202">
        <v>34</v>
      </c>
      <c r="C9" s="203">
        <v>33</v>
      </c>
      <c r="D9" s="202">
        <v>42</v>
      </c>
      <c r="E9" s="30">
        <v>66</v>
      </c>
      <c r="F9" s="30">
        <v>60</v>
      </c>
      <c r="G9" s="33">
        <v>31</v>
      </c>
    </row>
    <row r="10" spans="1:15" x14ac:dyDescent="0.3">
      <c r="A10" s="201" t="s">
        <v>454</v>
      </c>
      <c r="B10" s="202">
        <v>14</v>
      </c>
      <c r="C10" s="203">
        <v>11</v>
      </c>
      <c r="D10" s="202">
        <v>9</v>
      </c>
      <c r="E10" s="30">
        <v>9</v>
      </c>
      <c r="F10" s="30">
        <v>8</v>
      </c>
      <c r="G10" s="33">
        <v>5</v>
      </c>
    </row>
    <row r="11" spans="1:15" x14ac:dyDescent="0.3">
      <c r="A11" s="201" t="s">
        <v>455</v>
      </c>
      <c r="B11" s="202">
        <v>7</v>
      </c>
      <c r="C11" s="203">
        <v>5</v>
      </c>
      <c r="D11" s="202">
        <v>5</v>
      </c>
      <c r="E11" s="30">
        <v>1</v>
      </c>
      <c r="F11" s="30">
        <v>2</v>
      </c>
      <c r="G11" s="33">
        <v>2</v>
      </c>
    </row>
    <row r="12" spans="1:15" ht="28.8" x14ac:dyDescent="0.3">
      <c r="A12" s="201" t="s">
        <v>456</v>
      </c>
      <c r="B12" s="202">
        <v>18</v>
      </c>
      <c r="C12" s="203">
        <v>19</v>
      </c>
      <c r="D12" s="202">
        <v>26</v>
      </c>
      <c r="E12" s="317">
        <v>26</v>
      </c>
      <c r="F12" s="316">
        <v>26</v>
      </c>
      <c r="G12" s="457">
        <v>29</v>
      </c>
    </row>
  </sheetData>
  <hyperlinks>
    <hyperlink ref="A1" location="Inhoud!A1" display="Terug naar inhoud" xr:uid="{71ABF7A5-BB9E-4677-8E8D-0CDF6DDCD5A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8C3EE-BE25-4FEA-9381-5D482255EB93}">
  <sheetPr codeName="Blad3"/>
  <dimension ref="A1:H11"/>
  <sheetViews>
    <sheetView workbookViewId="0">
      <selection activeCell="A3" sqref="A3"/>
    </sheetView>
  </sheetViews>
  <sheetFormatPr defaultColWidth="9.109375" defaultRowHeight="14.4" x14ac:dyDescent="0.3"/>
  <cols>
    <col min="1" max="1" width="32.5546875" style="7" customWidth="1"/>
    <col min="2" max="7" width="10.44140625" style="7" customWidth="1"/>
    <col min="8" max="8" width="18.5546875" style="7" customWidth="1"/>
    <col min="9" max="9" width="18.6640625" style="7" customWidth="1"/>
    <col min="10" max="10" width="22.109375" style="7" customWidth="1"/>
    <col min="11" max="11" width="21.6640625" style="7" customWidth="1"/>
    <col min="12" max="16384" width="9.109375" style="7"/>
  </cols>
  <sheetData>
    <row r="1" spans="1:8" x14ac:dyDescent="0.3">
      <c r="A1" s="375" t="s">
        <v>95</v>
      </c>
    </row>
    <row r="2" spans="1:8" x14ac:dyDescent="0.3">
      <c r="A2" s="8" t="s">
        <v>115</v>
      </c>
    </row>
    <row r="3" spans="1:8" ht="37.5" customHeight="1" x14ac:dyDescent="0.3">
      <c r="A3" s="130" t="s">
        <v>6</v>
      </c>
      <c r="B3" s="253" t="s">
        <v>97</v>
      </c>
      <c r="C3" s="253" t="s">
        <v>98</v>
      </c>
      <c r="D3" s="253" t="s">
        <v>99</v>
      </c>
      <c r="E3" s="253" t="s">
        <v>100</v>
      </c>
      <c r="F3" s="253" t="s">
        <v>101</v>
      </c>
      <c r="G3" s="233" t="s">
        <v>102</v>
      </c>
      <c r="H3" s="253" t="s">
        <v>116</v>
      </c>
    </row>
    <row r="4" spans="1:8" x14ac:dyDescent="0.3">
      <c r="A4" s="256" t="s">
        <v>104</v>
      </c>
      <c r="B4" s="131">
        <v>100</v>
      </c>
      <c r="C4" s="131">
        <v>114</v>
      </c>
      <c r="D4" s="131">
        <v>95</v>
      </c>
      <c r="E4" s="131">
        <v>90</v>
      </c>
      <c r="F4" s="131">
        <v>71</v>
      </c>
      <c r="G4" s="65">
        <v>79</v>
      </c>
      <c r="H4" s="132">
        <f>(G4-F4)/F4</f>
        <v>0.11267605633802817</v>
      </c>
    </row>
    <row r="5" spans="1:8" x14ac:dyDescent="0.3">
      <c r="A5" s="256" t="s">
        <v>105</v>
      </c>
      <c r="B5" s="131">
        <v>4</v>
      </c>
      <c r="C5" s="131">
        <v>2</v>
      </c>
      <c r="D5" s="131">
        <v>6</v>
      </c>
      <c r="E5" s="131">
        <v>6</v>
      </c>
      <c r="F5" s="131">
        <v>4</v>
      </c>
      <c r="G5" s="65">
        <v>3</v>
      </c>
      <c r="H5" s="132">
        <f t="shared" ref="H5:H10" si="0">(G5-F5)/F5</f>
        <v>-0.25</v>
      </c>
    </row>
    <row r="6" spans="1:8" x14ac:dyDescent="0.3">
      <c r="A6" s="256" t="s">
        <v>106</v>
      </c>
      <c r="B6" s="131">
        <v>1090</v>
      </c>
      <c r="C6" s="131">
        <v>1125</v>
      </c>
      <c r="D6" s="131">
        <v>1024</v>
      </c>
      <c r="E6" s="131">
        <v>981</v>
      </c>
      <c r="F6" s="131">
        <v>948</v>
      </c>
      <c r="G6" s="65">
        <v>913</v>
      </c>
      <c r="H6" s="132">
        <f t="shared" si="0"/>
        <v>-3.6919831223628692E-2</v>
      </c>
    </row>
    <row r="7" spans="1:8" x14ac:dyDescent="0.3">
      <c r="A7" s="256" t="s">
        <v>107</v>
      </c>
      <c r="B7" s="131">
        <v>143</v>
      </c>
      <c r="C7" s="133"/>
      <c r="D7" s="131">
        <v>151</v>
      </c>
      <c r="E7" s="131">
        <v>161</v>
      </c>
      <c r="F7" s="131">
        <v>157</v>
      </c>
      <c r="G7" s="65">
        <v>175</v>
      </c>
      <c r="H7" s="132">
        <f t="shared" si="0"/>
        <v>0.11464968152866242</v>
      </c>
    </row>
    <row r="8" spans="1:8" x14ac:dyDescent="0.3">
      <c r="A8" s="256" t="s">
        <v>108</v>
      </c>
      <c r="B8" s="131">
        <v>8511</v>
      </c>
      <c r="C8" s="131">
        <v>8357</v>
      </c>
      <c r="D8" s="131">
        <v>8103</v>
      </c>
      <c r="E8" s="131">
        <v>7820</v>
      </c>
      <c r="F8" s="131">
        <f>7751+117</f>
        <v>7868</v>
      </c>
      <c r="G8" s="65">
        <f>7999+113</f>
        <v>8112</v>
      </c>
      <c r="H8" s="132">
        <f t="shared" si="0"/>
        <v>3.1011692933401117E-2</v>
      </c>
    </row>
    <row r="9" spans="1:8" x14ac:dyDescent="0.3">
      <c r="A9" s="256" t="s">
        <v>109</v>
      </c>
      <c r="B9" s="131">
        <v>197</v>
      </c>
      <c r="C9" s="131">
        <v>192</v>
      </c>
      <c r="D9" s="131">
        <v>258</v>
      </c>
      <c r="E9" s="131">
        <v>287</v>
      </c>
      <c r="F9" s="131">
        <v>330</v>
      </c>
      <c r="G9" s="65">
        <v>363</v>
      </c>
      <c r="H9" s="132">
        <f t="shared" si="0"/>
        <v>0.1</v>
      </c>
    </row>
    <row r="10" spans="1:8" x14ac:dyDescent="0.3">
      <c r="A10" s="256" t="s">
        <v>110</v>
      </c>
      <c r="B10" s="131">
        <v>58</v>
      </c>
      <c r="C10" s="131">
        <v>45</v>
      </c>
      <c r="D10" s="131">
        <v>44</v>
      </c>
      <c r="E10" s="131">
        <v>42</v>
      </c>
      <c r="F10" s="131">
        <v>37</v>
      </c>
      <c r="G10" s="65">
        <v>51</v>
      </c>
      <c r="H10" s="132">
        <f t="shared" si="0"/>
        <v>0.3783783783783784</v>
      </c>
    </row>
    <row r="11" spans="1:8" x14ac:dyDescent="0.3">
      <c r="A11" s="130" t="s">
        <v>113</v>
      </c>
      <c r="B11" s="134">
        <v>10103</v>
      </c>
      <c r="C11" s="134">
        <v>9953</v>
      </c>
      <c r="D11" s="134">
        <v>9681</v>
      </c>
      <c r="E11" s="134">
        <f>SUM(E4:E10)</f>
        <v>9387</v>
      </c>
      <c r="F11" s="134">
        <f>SUM(F4:F10)</f>
        <v>9415</v>
      </c>
      <c r="G11" s="66">
        <f>SUM(G4:G10)</f>
        <v>9696</v>
      </c>
      <c r="H11" s="415">
        <f>(G11-F11)/F11</f>
        <v>2.984599044078598E-2</v>
      </c>
    </row>
  </sheetData>
  <hyperlinks>
    <hyperlink ref="A1" location="Inhoud!A1" display="Terug naar inhoud" xr:uid="{E564CA12-6B15-4D6E-9191-F16D8EE73CE4}"/>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68533-DB9E-487C-AD39-024A5C59C529}">
  <sheetPr codeName="Blad30"/>
  <dimension ref="A1:N19"/>
  <sheetViews>
    <sheetView workbookViewId="0">
      <selection activeCell="A2" sqref="A2"/>
    </sheetView>
  </sheetViews>
  <sheetFormatPr defaultColWidth="9.109375" defaultRowHeight="14.4" x14ac:dyDescent="0.3"/>
  <cols>
    <col min="1" max="1" width="56" style="7" customWidth="1"/>
    <col min="2" max="2" width="9.6640625" style="7" bestFit="1" customWidth="1"/>
    <col min="3" max="5" width="11.109375" style="7" customWidth="1"/>
    <col min="6" max="6" width="10.44140625" style="7" customWidth="1"/>
    <col min="7" max="7" width="9.88671875" style="7" customWidth="1"/>
    <col min="8" max="16384" width="9.109375" style="7"/>
  </cols>
  <sheetData>
    <row r="1" spans="1:14" x14ac:dyDescent="0.3">
      <c r="A1" s="375" t="s">
        <v>95</v>
      </c>
    </row>
    <row r="2" spans="1:14" s="34" customFormat="1" x14ac:dyDescent="0.3">
      <c r="A2" s="60" t="s">
        <v>457</v>
      </c>
      <c r="B2" s="60"/>
    </row>
    <row r="3" spans="1:14" x14ac:dyDescent="0.3">
      <c r="A3" s="78" t="s">
        <v>458</v>
      </c>
      <c r="B3" s="78" t="s">
        <v>98</v>
      </c>
      <c r="C3" s="47" t="s">
        <v>99</v>
      </c>
      <c r="D3" s="127" t="s">
        <v>100</v>
      </c>
      <c r="E3" s="127" t="s">
        <v>101</v>
      </c>
      <c r="F3" s="127" t="s">
        <v>102</v>
      </c>
      <c r="G3" s="127" t="s">
        <v>447</v>
      </c>
      <c r="H3" s="258"/>
      <c r="I3" s="258"/>
      <c r="J3" s="258"/>
      <c r="K3" s="258"/>
      <c r="L3" s="258"/>
      <c r="M3" s="258"/>
      <c r="N3"/>
    </row>
    <row r="4" spans="1:14" x14ac:dyDescent="0.3">
      <c r="A4" s="79" t="s">
        <v>448</v>
      </c>
      <c r="B4" s="79">
        <v>0</v>
      </c>
      <c r="C4" s="48">
        <v>0</v>
      </c>
      <c r="D4" s="16">
        <v>0</v>
      </c>
      <c r="E4" s="16">
        <v>0</v>
      </c>
      <c r="F4" s="16">
        <v>1</v>
      </c>
      <c r="G4" s="16">
        <v>0</v>
      </c>
    </row>
    <row r="5" spans="1:14" x14ac:dyDescent="0.3">
      <c r="A5" s="79" t="s">
        <v>459</v>
      </c>
      <c r="B5" s="79">
        <v>0</v>
      </c>
      <c r="C5" s="48">
        <v>0</v>
      </c>
      <c r="D5" s="16">
        <v>0</v>
      </c>
      <c r="E5" s="16">
        <v>1</v>
      </c>
      <c r="F5" s="16">
        <v>0</v>
      </c>
      <c r="G5" s="16">
        <v>1</v>
      </c>
    </row>
    <row r="6" spans="1:14" x14ac:dyDescent="0.3">
      <c r="A6" s="79" t="s">
        <v>460</v>
      </c>
      <c r="B6" s="79">
        <v>0</v>
      </c>
      <c r="C6" s="48">
        <v>0</v>
      </c>
      <c r="D6" s="16">
        <v>0</v>
      </c>
      <c r="E6" s="16">
        <v>0</v>
      </c>
      <c r="F6" s="16">
        <v>1</v>
      </c>
      <c r="G6" s="16">
        <v>0</v>
      </c>
    </row>
    <row r="7" spans="1:14" x14ac:dyDescent="0.3">
      <c r="A7" s="79" t="s">
        <v>451</v>
      </c>
      <c r="B7" s="79">
        <v>0</v>
      </c>
      <c r="C7" s="48">
        <v>1</v>
      </c>
      <c r="D7" s="16">
        <v>0</v>
      </c>
      <c r="E7" s="16">
        <v>0</v>
      </c>
      <c r="F7" s="16">
        <v>1</v>
      </c>
      <c r="G7" s="16">
        <v>0</v>
      </c>
    </row>
    <row r="8" spans="1:14" x14ac:dyDescent="0.3">
      <c r="A8" s="79" t="s">
        <v>452</v>
      </c>
      <c r="B8" s="79">
        <v>6</v>
      </c>
      <c r="C8" s="48">
        <v>4</v>
      </c>
      <c r="D8" s="16">
        <v>6</v>
      </c>
      <c r="E8" s="16">
        <v>0</v>
      </c>
      <c r="F8" s="16">
        <v>9</v>
      </c>
      <c r="G8" s="16">
        <v>3</v>
      </c>
    </row>
    <row r="9" spans="1:14" x14ac:dyDescent="0.3">
      <c r="A9" s="79" t="s">
        <v>461</v>
      </c>
      <c r="B9" s="79">
        <v>3</v>
      </c>
      <c r="C9" s="48">
        <v>6</v>
      </c>
      <c r="D9" s="16">
        <v>1</v>
      </c>
      <c r="E9" s="16">
        <v>1</v>
      </c>
      <c r="F9" s="16">
        <v>0</v>
      </c>
      <c r="G9" s="16">
        <v>3</v>
      </c>
    </row>
    <row r="10" spans="1:14" x14ac:dyDescent="0.3">
      <c r="A10" s="79" t="s">
        <v>462</v>
      </c>
      <c r="B10" s="79">
        <v>6</v>
      </c>
      <c r="C10" s="48">
        <v>2</v>
      </c>
      <c r="D10" s="16">
        <v>3</v>
      </c>
      <c r="E10" s="16">
        <v>2</v>
      </c>
      <c r="F10" s="16">
        <v>2</v>
      </c>
      <c r="G10" s="16">
        <v>3</v>
      </c>
    </row>
    <row r="11" spans="1:14" x14ac:dyDescent="0.3">
      <c r="A11" s="79" t="s">
        <v>463</v>
      </c>
      <c r="B11" s="79">
        <v>0</v>
      </c>
      <c r="C11" s="48">
        <v>0</v>
      </c>
      <c r="D11" s="16">
        <v>1</v>
      </c>
      <c r="E11" s="16">
        <v>1</v>
      </c>
      <c r="F11" s="16">
        <v>0</v>
      </c>
      <c r="G11" s="16">
        <v>0</v>
      </c>
    </row>
    <row r="12" spans="1:14" x14ac:dyDescent="0.3">
      <c r="A12" s="79" t="s">
        <v>464</v>
      </c>
      <c r="B12" s="79">
        <v>0</v>
      </c>
      <c r="C12" s="48">
        <v>0</v>
      </c>
      <c r="D12" s="16">
        <v>0</v>
      </c>
      <c r="E12" s="16">
        <v>0</v>
      </c>
      <c r="F12" s="16">
        <v>1</v>
      </c>
      <c r="G12" s="16">
        <v>1</v>
      </c>
    </row>
    <row r="13" spans="1:14" x14ac:dyDescent="0.3">
      <c r="A13" s="79" t="s">
        <v>465</v>
      </c>
      <c r="B13" s="204">
        <v>2</v>
      </c>
      <c r="C13" s="48">
        <v>1</v>
      </c>
      <c r="D13" s="16">
        <v>0</v>
      </c>
      <c r="E13" s="16">
        <v>0</v>
      </c>
      <c r="F13" s="16">
        <v>0</v>
      </c>
      <c r="G13" s="16">
        <v>1</v>
      </c>
    </row>
    <row r="14" spans="1:14" x14ac:dyDescent="0.3">
      <c r="A14" s="79" t="s">
        <v>466</v>
      </c>
      <c r="B14" s="204">
        <v>2</v>
      </c>
      <c r="C14" s="48">
        <v>3</v>
      </c>
      <c r="D14" s="16">
        <v>0</v>
      </c>
      <c r="E14" s="16">
        <v>0</v>
      </c>
      <c r="F14" s="16">
        <v>0</v>
      </c>
      <c r="G14" s="16">
        <v>0</v>
      </c>
    </row>
    <row r="15" spans="1:14" x14ac:dyDescent="0.3">
      <c r="A15" s="79" t="s">
        <v>467</v>
      </c>
      <c r="B15" s="204">
        <v>1</v>
      </c>
      <c r="C15" s="48">
        <v>0</v>
      </c>
      <c r="D15" s="16">
        <v>0</v>
      </c>
      <c r="E15" s="16">
        <v>0</v>
      </c>
      <c r="F15" s="16">
        <v>0</v>
      </c>
      <c r="G15" s="16">
        <v>0</v>
      </c>
    </row>
    <row r="16" spans="1:14" x14ac:dyDescent="0.3">
      <c r="A16" s="79" t="s">
        <v>468</v>
      </c>
      <c r="B16" s="204">
        <v>0</v>
      </c>
      <c r="C16" s="48">
        <v>1</v>
      </c>
      <c r="D16" s="16">
        <v>0</v>
      </c>
      <c r="E16" s="16">
        <v>1</v>
      </c>
      <c r="F16" s="16">
        <v>2</v>
      </c>
      <c r="G16" s="16">
        <v>0</v>
      </c>
    </row>
    <row r="17" spans="1:7" x14ac:dyDescent="0.3">
      <c r="A17" s="79" t="s">
        <v>469</v>
      </c>
      <c r="B17" s="204">
        <v>3</v>
      </c>
      <c r="C17" s="48">
        <v>1</v>
      </c>
      <c r="D17" s="16">
        <v>3</v>
      </c>
      <c r="E17" s="16">
        <v>2</v>
      </c>
      <c r="F17" s="16">
        <v>2</v>
      </c>
      <c r="G17" s="16">
        <v>1</v>
      </c>
    </row>
    <row r="18" spans="1:7" x14ac:dyDescent="0.3">
      <c r="A18" s="79" t="s">
        <v>470</v>
      </c>
      <c r="B18" s="204">
        <v>1</v>
      </c>
      <c r="C18" s="48">
        <v>0</v>
      </c>
      <c r="D18" s="16">
        <v>1</v>
      </c>
      <c r="E18" s="16">
        <v>0</v>
      </c>
      <c r="F18" s="16">
        <v>2</v>
      </c>
      <c r="G18" s="16">
        <v>0</v>
      </c>
    </row>
    <row r="19" spans="1:7" x14ac:dyDescent="0.3">
      <c r="A19" s="79" t="s">
        <v>456</v>
      </c>
      <c r="B19" s="79">
        <v>1</v>
      </c>
      <c r="C19" s="48">
        <v>10</v>
      </c>
      <c r="D19" s="16">
        <v>10</v>
      </c>
      <c r="E19" s="16">
        <v>6</v>
      </c>
      <c r="F19" s="16">
        <v>4</v>
      </c>
      <c r="G19" s="16">
        <v>3</v>
      </c>
    </row>
  </sheetData>
  <hyperlinks>
    <hyperlink ref="A1" location="Inhoud!A1" display="Terug naar inhoud" xr:uid="{A7DD6771-7460-4058-B803-50887977C8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B45E5-247D-4EC2-A40A-4896B9537543}">
  <sheetPr codeName="Blad31"/>
  <dimension ref="A1:H21"/>
  <sheetViews>
    <sheetView workbookViewId="0">
      <selection activeCell="A2" sqref="A2"/>
    </sheetView>
  </sheetViews>
  <sheetFormatPr defaultColWidth="9.109375" defaultRowHeight="14.4" x14ac:dyDescent="0.3"/>
  <cols>
    <col min="1" max="1" width="23.109375" style="7" bestFit="1" customWidth="1"/>
    <col min="2" max="2" width="26.5546875" style="7" bestFit="1" customWidth="1"/>
    <col min="3" max="4" width="9.6640625" style="7" bestFit="1" customWidth="1"/>
    <col min="5" max="5" width="10.44140625" style="7" customWidth="1"/>
    <col min="6" max="6" width="10.44140625" style="7" bestFit="1" customWidth="1"/>
    <col min="7" max="7" width="11" style="7" customWidth="1"/>
    <col min="8" max="8" width="10.44140625" style="7" customWidth="1"/>
    <col min="9" max="16384" width="9.109375" style="7"/>
  </cols>
  <sheetData>
    <row r="1" spans="1:8" x14ac:dyDescent="0.3">
      <c r="A1" s="375" t="s">
        <v>95</v>
      </c>
    </row>
    <row r="2" spans="1:8" s="34" customFormat="1" ht="15" customHeight="1" x14ac:dyDescent="0.3">
      <c r="A2" s="74" t="s">
        <v>471</v>
      </c>
    </row>
    <row r="3" spans="1:8" x14ac:dyDescent="0.3">
      <c r="A3" s="128" t="s">
        <v>472</v>
      </c>
      <c r="B3" s="128" t="s">
        <v>473</v>
      </c>
      <c r="C3" s="228" t="s">
        <v>98</v>
      </c>
      <c r="D3" s="128" t="s">
        <v>99</v>
      </c>
      <c r="E3" s="249" t="s">
        <v>100</v>
      </c>
      <c r="F3" s="249" t="s">
        <v>101</v>
      </c>
      <c r="G3" s="249" t="s">
        <v>102</v>
      </c>
      <c r="H3" s="249" t="s">
        <v>447</v>
      </c>
    </row>
    <row r="4" spans="1:8" x14ac:dyDescent="0.3">
      <c r="A4" s="506" t="s">
        <v>474</v>
      </c>
      <c r="B4" s="80" t="s">
        <v>475</v>
      </c>
      <c r="C4" s="242">
        <v>0</v>
      </c>
      <c r="D4" s="242">
        <v>0</v>
      </c>
      <c r="E4" s="64">
        <v>0</v>
      </c>
      <c r="F4" s="64">
        <v>0</v>
      </c>
      <c r="G4" s="64">
        <v>2</v>
      </c>
      <c r="H4" s="64">
        <v>1</v>
      </c>
    </row>
    <row r="5" spans="1:8" x14ac:dyDescent="0.3">
      <c r="A5" s="506"/>
      <c r="B5" s="80" t="s">
        <v>476</v>
      </c>
      <c r="C5" s="242">
        <v>1</v>
      </c>
      <c r="D5" s="242">
        <v>1</v>
      </c>
      <c r="E5" s="64">
        <v>1</v>
      </c>
      <c r="F5" s="64">
        <v>0</v>
      </c>
      <c r="G5" s="64">
        <v>0</v>
      </c>
      <c r="H5" s="64">
        <v>1</v>
      </c>
    </row>
    <row r="6" spans="1:8" x14ac:dyDescent="0.3">
      <c r="A6" s="506"/>
      <c r="B6" s="80" t="s">
        <v>477</v>
      </c>
      <c r="C6" s="242">
        <v>0</v>
      </c>
      <c r="D6" s="242">
        <v>0</v>
      </c>
      <c r="E6" s="64">
        <v>0</v>
      </c>
      <c r="F6" s="64">
        <v>0</v>
      </c>
      <c r="G6" s="64">
        <v>1</v>
      </c>
      <c r="H6" s="64">
        <v>1</v>
      </c>
    </row>
    <row r="7" spans="1:8" x14ac:dyDescent="0.3">
      <c r="A7" s="506" t="s">
        <v>478</v>
      </c>
      <c r="B7" s="80" t="s">
        <v>475</v>
      </c>
      <c r="C7" s="242">
        <v>2</v>
      </c>
      <c r="D7" s="242">
        <v>1</v>
      </c>
      <c r="E7" s="64">
        <v>0</v>
      </c>
      <c r="F7" s="64">
        <v>0</v>
      </c>
      <c r="G7" s="64">
        <v>0</v>
      </c>
      <c r="H7" s="64">
        <v>1</v>
      </c>
    </row>
    <row r="8" spans="1:8" x14ac:dyDescent="0.3">
      <c r="A8" s="506"/>
      <c r="B8" s="80" t="s">
        <v>476</v>
      </c>
      <c r="C8" s="242">
        <v>0</v>
      </c>
      <c r="D8" s="242">
        <v>0</v>
      </c>
      <c r="E8" s="64">
        <v>0</v>
      </c>
      <c r="F8" s="64">
        <v>0</v>
      </c>
      <c r="G8" s="64">
        <v>0</v>
      </c>
      <c r="H8" s="64">
        <v>0</v>
      </c>
    </row>
    <row r="9" spans="1:8" x14ac:dyDescent="0.3">
      <c r="A9" s="506"/>
      <c r="B9" s="80" t="s">
        <v>477</v>
      </c>
      <c r="C9" s="242">
        <v>2</v>
      </c>
      <c r="D9" s="242">
        <v>1</v>
      </c>
      <c r="E9" s="64">
        <v>0</v>
      </c>
      <c r="F9" s="64">
        <v>0</v>
      </c>
      <c r="G9" s="64">
        <v>0</v>
      </c>
      <c r="H9" s="64">
        <v>1</v>
      </c>
    </row>
    <row r="10" spans="1:8" x14ac:dyDescent="0.3">
      <c r="A10" s="506" t="s">
        <v>479</v>
      </c>
      <c r="B10" s="80" t="s">
        <v>475</v>
      </c>
      <c r="C10" s="242">
        <v>2</v>
      </c>
      <c r="D10" s="242">
        <v>3</v>
      </c>
      <c r="E10" s="64">
        <v>0</v>
      </c>
      <c r="F10" s="64">
        <v>0</v>
      </c>
      <c r="G10" s="64">
        <v>0</v>
      </c>
      <c r="H10" s="64">
        <v>0</v>
      </c>
    </row>
    <row r="11" spans="1:8" x14ac:dyDescent="0.3">
      <c r="A11" s="506"/>
      <c r="B11" s="80" t="s">
        <v>476</v>
      </c>
      <c r="C11" s="242">
        <v>1</v>
      </c>
      <c r="D11" s="242">
        <v>0</v>
      </c>
      <c r="E11" s="64">
        <v>1</v>
      </c>
      <c r="F11" s="64">
        <v>0</v>
      </c>
      <c r="G11" s="64">
        <v>0</v>
      </c>
      <c r="H11" s="64">
        <v>1</v>
      </c>
    </row>
    <row r="12" spans="1:8" x14ac:dyDescent="0.3">
      <c r="A12" s="506"/>
      <c r="B12" s="80" t="s">
        <v>477</v>
      </c>
      <c r="C12" s="242">
        <v>2</v>
      </c>
      <c r="D12" s="242">
        <v>3</v>
      </c>
      <c r="E12" s="64">
        <v>0</v>
      </c>
      <c r="F12" s="64">
        <v>0</v>
      </c>
      <c r="G12" s="64">
        <v>0</v>
      </c>
      <c r="H12" s="64">
        <v>0</v>
      </c>
    </row>
    <row r="13" spans="1:8" x14ac:dyDescent="0.3">
      <c r="A13" s="569" t="s">
        <v>480</v>
      </c>
      <c r="B13" s="80" t="s">
        <v>475</v>
      </c>
      <c r="C13" s="242">
        <v>1</v>
      </c>
      <c r="D13" s="242">
        <v>0</v>
      </c>
      <c r="E13" s="64">
        <v>0</v>
      </c>
      <c r="F13" s="64">
        <v>0</v>
      </c>
      <c r="G13" s="64">
        <v>0</v>
      </c>
      <c r="H13" s="64">
        <v>0</v>
      </c>
    </row>
    <row r="14" spans="1:8" x14ac:dyDescent="0.3">
      <c r="A14" s="570"/>
      <c r="B14" s="80" t="s">
        <v>476</v>
      </c>
      <c r="C14" s="242">
        <v>0</v>
      </c>
      <c r="D14" s="242">
        <v>0</v>
      </c>
      <c r="E14" s="64">
        <v>0</v>
      </c>
      <c r="F14" s="64">
        <v>0</v>
      </c>
      <c r="G14" s="64">
        <v>0</v>
      </c>
      <c r="H14" s="64">
        <v>0</v>
      </c>
    </row>
    <row r="15" spans="1:8" x14ac:dyDescent="0.3">
      <c r="A15" s="571"/>
      <c r="B15" s="80" t="s">
        <v>477</v>
      </c>
      <c r="C15" s="242">
        <v>1</v>
      </c>
      <c r="D15" s="242">
        <v>0</v>
      </c>
      <c r="E15" s="64">
        <v>0</v>
      </c>
      <c r="F15" s="64">
        <v>0</v>
      </c>
      <c r="G15" s="64">
        <v>0</v>
      </c>
      <c r="H15" s="64">
        <v>0</v>
      </c>
    </row>
    <row r="16" spans="1:8" x14ac:dyDescent="0.3">
      <c r="A16" s="506" t="s">
        <v>481</v>
      </c>
      <c r="B16" s="80" t="s">
        <v>475</v>
      </c>
      <c r="C16" s="242">
        <v>0</v>
      </c>
      <c r="D16" s="242">
        <v>1</v>
      </c>
      <c r="E16" s="64">
        <v>0</v>
      </c>
      <c r="F16" s="64">
        <v>1</v>
      </c>
      <c r="G16" s="64">
        <v>2</v>
      </c>
      <c r="H16" s="64">
        <v>0</v>
      </c>
    </row>
    <row r="17" spans="1:8" x14ac:dyDescent="0.3">
      <c r="A17" s="506"/>
      <c r="B17" s="80" t="s">
        <v>476</v>
      </c>
      <c r="C17" s="242">
        <v>0</v>
      </c>
      <c r="D17" s="242">
        <v>1</v>
      </c>
      <c r="E17" s="64">
        <v>1</v>
      </c>
      <c r="F17" s="64">
        <v>0</v>
      </c>
      <c r="G17" s="64">
        <v>0</v>
      </c>
      <c r="H17" s="64">
        <v>2</v>
      </c>
    </row>
    <row r="18" spans="1:8" x14ac:dyDescent="0.3">
      <c r="A18" s="506"/>
      <c r="B18" s="80" t="s">
        <v>477</v>
      </c>
      <c r="C18" s="242">
        <v>0</v>
      </c>
      <c r="D18" s="242">
        <v>1</v>
      </c>
      <c r="E18" s="64">
        <v>0</v>
      </c>
      <c r="F18" s="64">
        <v>1</v>
      </c>
      <c r="G18" s="64">
        <v>2</v>
      </c>
      <c r="H18" s="64">
        <v>0</v>
      </c>
    </row>
    <row r="19" spans="1:8" x14ac:dyDescent="0.3">
      <c r="A19" s="506" t="s">
        <v>482</v>
      </c>
      <c r="B19" s="80" t="s">
        <v>475</v>
      </c>
      <c r="C19" s="242">
        <v>4</v>
      </c>
      <c r="D19" s="242">
        <v>1</v>
      </c>
      <c r="E19" s="64">
        <v>3</v>
      </c>
      <c r="F19" s="64">
        <v>2</v>
      </c>
      <c r="G19" s="64">
        <v>2</v>
      </c>
      <c r="H19" s="64">
        <v>1</v>
      </c>
    </row>
    <row r="20" spans="1:8" x14ac:dyDescent="0.3">
      <c r="A20" s="506"/>
      <c r="B20" s="80" t="s">
        <v>476</v>
      </c>
      <c r="C20" s="242">
        <v>2</v>
      </c>
      <c r="D20" s="242">
        <v>3</v>
      </c>
      <c r="E20" s="64">
        <v>2</v>
      </c>
      <c r="F20" s="64">
        <v>0</v>
      </c>
      <c r="G20" s="64">
        <v>0</v>
      </c>
      <c r="H20" s="64">
        <v>0</v>
      </c>
    </row>
    <row r="21" spans="1:8" x14ac:dyDescent="0.3">
      <c r="A21" s="506"/>
      <c r="B21" s="80" t="s">
        <v>477</v>
      </c>
      <c r="C21" s="242">
        <v>3</v>
      </c>
      <c r="D21" s="242">
        <v>1</v>
      </c>
      <c r="E21" s="64">
        <v>3</v>
      </c>
      <c r="F21" s="64">
        <v>2</v>
      </c>
      <c r="G21" s="64">
        <v>1</v>
      </c>
      <c r="H21" s="64">
        <v>1</v>
      </c>
    </row>
  </sheetData>
  <mergeCells count="6">
    <mergeCell ref="A4:A6"/>
    <mergeCell ref="A7:A9"/>
    <mergeCell ref="A10:A12"/>
    <mergeCell ref="A16:A18"/>
    <mergeCell ref="A19:A21"/>
    <mergeCell ref="A13:A15"/>
  </mergeCells>
  <hyperlinks>
    <hyperlink ref="A1" location="Inhoud!A1" display="Terug naar inhoud" xr:uid="{2365CD55-4138-451D-A2A2-BE356377F4B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6D778-CA4F-48CF-BF55-B57994C89F61}">
  <sheetPr codeName="Blad32"/>
  <dimension ref="A1:G10"/>
  <sheetViews>
    <sheetView workbookViewId="0">
      <selection activeCell="A2" sqref="A2"/>
    </sheetView>
  </sheetViews>
  <sheetFormatPr defaultColWidth="9.109375" defaultRowHeight="14.4" x14ac:dyDescent="0.3"/>
  <cols>
    <col min="1" max="1" width="41.5546875" style="7" customWidth="1"/>
    <col min="2" max="5" width="10.6640625" style="7" customWidth="1"/>
    <col min="6" max="16384" width="9.109375" style="7"/>
  </cols>
  <sheetData>
    <row r="1" spans="1:7" x14ac:dyDescent="0.3">
      <c r="A1" s="375" t="s">
        <v>95</v>
      </c>
    </row>
    <row r="2" spans="1:7" x14ac:dyDescent="0.3">
      <c r="A2" s="8" t="s">
        <v>483</v>
      </c>
    </row>
    <row r="3" spans="1:7" x14ac:dyDescent="0.3">
      <c r="A3" s="251"/>
      <c r="B3" s="251" t="s">
        <v>98</v>
      </c>
      <c r="C3" s="130" t="s">
        <v>99</v>
      </c>
      <c r="D3" s="251" t="s">
        <v>100</v>
      </c>
      <c r="E3" s="130" t="s">
        <v>101</v>
      </c>
      <c r="F3" s="130" t="s">
        <v>102</v>
      </c>
      <c r="G3" s="130" t="s">
        <v>447</v>
      </c>
    </row>
    <row r="4" spans="1:7" ht="15" customHeight="1" x14ac:dyDescent="0.3">
      <c r="A4" s="205" t="s">
        <v>484</v>
      </c>
      <c r="B4" s="206">
        <v>0</v>
      </c>
      <c r="C4" s="207">
        <v>0</v>
      </c>
      <c r="D4" s="206">
        <v>0</v>
      </c>
      <c r="E4" s="53">
        <v>1</v>
      </c>
      <c r="F4" s="53">
        <v>0</v>
      </c>
      <c r="G4" s="53">
        <v>1</v>
      </c>
    </row>
    <row r="5" spans="1:7" ht="15" customHeight="1" x14ac:dyDescent="0.3">
      <c r="A5" s="205" t="s">
        <v>485</v>
      </c>
      <c r="B5" s="206">
        <v>0</v>
      </c>
      <c r="C5" s="207">
        <v>0</v>
      </c>
      <c r="D5" s="206">
        <v>0</v>
      </c>
      <c r="E5" s="53">
        <v>1</v>
      </c>
      <c r="F5" s="53">
        <v>0</v>
      </c>
      <c r="G5" s="53">
        <v>0</v>
      </c>
    </row>
    <row r="6" spans="1:7" ht="28.8" x14ac:dyDescent="0.3">
      <c r="A6" s="205" t="s">
        <v>486</v>
      </c>
      <c r="B6" s="206">
        <v>1</v>
      </c>
      <c r="C6" s="207">
        <v>0</v>
      </c>
      <c r="D6" s="206">
        <v>0</v>
      </c>
      <c r="E6" s="53">
        <v>0</v>
      </c>
      <c r="F6" s="53">
        <v>0</v>
      </c>
      <c r="G6" s="53">
        <v>0</v>
      </c>
    </row>
    <row r="7" spans="1:7" ht="30" customHeight="1" x14ac:dyDescent="0.3">
      <c r="A7" s="205" t="s">
        <v>487</v>
      </c>
      <c r="B7" s="206">
        <v>0</v>
      </c>
      <c r="C7" s="207">
        <v>0</v>
      </c>
      <c r="D7" s="206">
        <v>0</v>
      </c>
      <c r="E7" s="53">
        <v>0</v>
      </c>
      <c r="F7" s="53">
        <v>0</v>
      </c>
      <c r="G7" s="53">
        <v>0</v>
      </c>
    </row>
    <row r="8" spans="1:7" ht="15" customHeight="1" x14ac:dyDescent="0.3">
      <c r="A8" s="205" t="s">
        <v>448</v>
      </c>
      <c r="B8" s="206">
        <v>1</v>
      </c>
      <c r="C8" s="207">
        <v>2</v>
      </c>
      <c r="D8" s="206">
        <v>2</v>
      </c>
      <c r="E8" s="53">
        <v>4</v>
      </c>
      <c r="F8" s="53">
        <v>9</v>
      </c>
      <c r="G8" s="53">
        <v>5</v>
      </c>
    </row>
    <row r="9" spans="1:7" ht="15" customHeight="1" x14ac:dyDescent="0.3">
      <c r="A9" s="205" t="s">
        <v>488</v>
      </c>
      <c r="B9" s="206">
        <v>0</v>
      </c>
      <c r="C9" s="207">
        <v>1</v>
      </c>
      <c r="D9" s="206">
        <v>0</v>
      </c>
      <c r="E9" s="16">
        <v>0</v>
      </c>
      <c r="F9" s="16">
        <v>0</v>
      </c>
      <c r="G9" s="16">
        <v>2</v>
      </c>
    </row>
    <row r="10" spans="1:7" x14ac:dyDescent="0.3">
      <c r="A10" s="458" t="s">
        <v>489</v>
      </c>
    </row>
  </sheetData>
  <hyperlinks>
    <hyperlink ref="A1" location="Inhoud!A1" display="Terug naar inhoud" xr:uid="{2FDA85AC-965E-4C96-9418-BCCECC3EE68C}"/>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16C96-F1EB-48AE-9B2A-A30EEE9D3FBD}">
  <sheetPr codeName="Blad33"/>
  <dimension ref="A1:G26"/>
  <sheetViews>
    <sheetView workbookViewId="0">
      <selection activeCell="A2" sqref="A2"/>
    </sheetView>
  </sheetViews>
  <sheetFormatPr defaultColWidth="9.109375" defaultRowHeight="14.4" x14ac:dyDescent="0.3"/>
  <cols>
    <col min="1" max="1" width="11.6640625" style="7" customWidth="1"/>
    <col min="2" max="7" width="10.6640625" style="7" customWidth="1"/>
    <col min="8" max="8" width="10.44140625" style="7" customWidth="1"/>
    <col min="9" max="16384" width="9.109375" style="7"/>
  </cols>
  <sheetData>
    <row r="1" spans="1:7" x14ac:dyDescent="0.3">
      <c r="A1" s="375" t="s">
        <v>95</v>
      </c>
    </row>
    <row r="2" spans="1:7" x14ac:dyDescent="0.3">
      <c r="A2" s="8" t="s">
        <v>490</v>
      </c>
    </row>
    <row r="3" spans="1:7" ht="15" customHeight="1" x14ac:dyDescent="0.3">
      <c r="A3" s="572" t="s">
        <v>491</v>
      </c>
      <c r="B3" s="572"/>
      <c r="C3" s="572"/>
      <c r="D3" s="572"/>
      <c r="E3" s="572"/>
      <c r="F3" s="572"/>
      <c r="G3" s="572"/>
    </row>
    <row r="4" spans="1:7" ht="28.8" x14ac:dyDescent="0.3">
      <c r="A4" s="249"/>
      <c r="B4" s="233" t="s">
        <v>492</v>
      </c>
      <c r="C4" s="233" t="s">
        <v>493</v>
      </c>
      <c r="D4" s="233" t="s">
        <v>494</v>
      </c>
      <c r="E4" s="233" t="s">
        <v>495</v>
      </c>
      <c r="F4" s="233" t="s">
        <v>496</v>
      </c>
      <c r="G4" s="233" t="s">
        <v>497</v>
      </c>
    </row>
    <row r="5" spans="1:7" x14ac:dyDescent="0.3">
      <c r="A5" s="62" t="s">
        <v>498</v>
      </c>
      <c r="B5" s="209">
        <v>8</v>
      </c>
      <c r="C5" s="209">
        <v>8</v>
      </c>
      <c r="D5" s="252" t="s">
        <v>185</v>
      </c>
      <c r="E5" s="252" t="s">
        <v>185</v>
      </c>
      <c r="F5" s="252" t="s">
        <v>185</v>
      </c>
      <c r="G5" s="252" t="s">
        <v>185</v>
      </c>
    </row>
    <row r="6" spans="1:7" x14ac:dyDescent="0.3">
      <c r="A6" s="62" t="s">
        <v>475</v>
      </c>
      <c r="B6" s="209">
        <v>7</v>
      </c>
      <c r="C6" s="209">
        <v>8</v>
      </c>
      <c r="D6" s="252" t="s">
        <v>185</v>
      </c>
      <c r="E6" s="252" t="s">
        <v>185</v>
      </c>
      <c r="F6" s="252" t="s">
        <v>185</v>
      </c>
      <c r="G6" s="252" t="s">
        <v>185</v>
      </c>
    </row>
    <row r="7" spans="1:7" x14ac:dyDescent="0.3">
      <c r="A7" s="62" t="s">
        <v>476</v>
      </c>
      <c r="B7" s="209">
        <v>1</v>
      </c>
      <c r="C7" s="209">
        <v>0</v>
      </c>
      <c r="D7" s="252" t="s">
        <v>185</v>
      </c>
      <c r="E7" s="252" t="s">
        <v>185</v>
      </c>
      <c r="F7" s="252" t="s">
        <v>185</v>
      </c>
      <c r="G7" s="252" t="s">
        <v>185</v>
      </c>
    </row>
    <row r="8" spans="1:7" ht="15" customHeight="1" x14ac:dyDescent="0.3">
      <c r="A8" s="490" t="s">
        <v>499</v>
      </c>
      <c r="B8" s="490"/>
      <c r="C8" s="490"/>
      <c r="D8" s="490"/>
      <c r="E8" s="490"/>
      <c r="F8" s="490"/>
      <c r="G8" s="490"/>
    </row>
    <row r="9" spans="1:7" ht="28.8" x14ac:dyDescent="0.3">
      <c r="A9" s="249"/>
      <c r="B9" s="233" t="s">
        <v>492</v>
      </c>
      <c r="C9" s="233" t="s">
        <v>500</v>
      </c>
      <c r="D9" s="233" t="s">
        <v>494</v>
      </c>
      <c r="E9" s="239" t="s">
        <v>501</v>
      </c>
      <c r="F9" s="239" t="s">
        <v>496</v>
      </c>
      <c r="G9" s="239" t="s">
        <v>497</v>
      </c>
    </row>
    <row r="10" spans="1:7" x14ac:dyDescent="0.3">
      <c r="A10" s="62" t="s">
        <v>498</v>
      </c>
      <c r="B10" s="209">
        <v>29</v>
      </c>
      <c r="C10" s="209">
        <v>79</v>
      </c>
      <c r="D10" s="252">
        <v>172</v>
      </c>
      <c r="E10" s="252">
        <v>472</v>
      </c>
      <c r="F10" s="252">
        <v>1456</v>
      </c>
      <c r="G10" s="252">
        <v>431</v>
      </c>
    </row>
    <row r="11" spans="1:7" x14ac:dyDescent="0.3">
      <c r="A11" s="62" t="s">
        <v>475</v>
      </c>
      <c r="B11" s="209">
        <v>29</v>
      </c>
      <c r="C11" s="209">
        <v>78</v>
      </c>
      <c r="D11" s="252">
        <v>106</v>
      </c>
      <c r="E11" s="252">
        <v>298</v>
      </c>
      <c r="F11" s="252">
        <v>904</v>
      </c>
      <c r="G11" s="252">
        <v>316</v>
      </c>
    </row>
    <row r="12" spans="1:7" x14ac:dyDescent="0.3">
      <c r="A12" s="62" t="s">
        <v>476</v>
      </c>
      <c r="B12" s="209">
        <v>0</v>
      </c>
      <c r="C12" s="209">
        <v>1</v>
      </c>
      <c r="D12" s="252">
        <v>66</v>
      </c>
      <c r="E12" s="252">
        <v>174</v>
      </c>
      <c r="F12" s="252">
        <v>552</v>
      </c>
      <c r="G12" s="252">
        <v>115</v>
      </c>
    </row>
    <row r="13" spans="1:7" ht="28.8" x14ac:dyDescent="0.3">
      <c r="A13" s="249"/>
      <c r="B13" s="233" t="s">
        <v>492</v>
      </c>
      <c r="C13" s="233" t="s">
        <v>500</v>
      </c>
      <c r="D13" s="233" t="s">
        <v>494</v>
      </c>
      <c r="E13" s="239" t="s">
        <v>501</v>
      </c>
      <c r="F13" s="239" t="s">
        <v>496</v>
      </c>
      <c r="G13" s="239" t="s">
        <v>497</v>
      </c>
    </row>
    <row r="14" spans="1:7" ht="15" customHeight="1" x14ac:dyDescent="0.3">
      <c r="A14" s="490" t="s">
        <v>502</v>
      </c>
      <c r="B14" s="490"/>
      <c r="C14" s="490"/>
      <c r="D14" s="490"/>
      <c r="E14" s="490"/>
      <c r="F14" s="490"/>
      <c r="G14" s="490"/>
    </row>
    <row r="15" spans="1:7" x14ac:dyDescent="0.3">
      <c r="A15" s="62" t="s">
        <v>498</v>
      </c>
      <c r="B15" s="252" t="s">
        <v>185</v>
      </c>
      <c r="C15" s="252" t="s">
        <v>185</v>
      </c>
      <c r="D15" s="252">
        <v>397</v>
      </c>
      <c r="E15" s="252">
        <v>491</v>
      </c>
      <c r="F15" s="252">
        <v>488</v>
      </c>
      <c r="G15" s="252">
        <v>313</v>
      </c>
    </row>
    <row r="16" spans="1:7" x14ac:dyDescent="0.3">
      <c r="A16" s="62" t="s">
        <v>475</v>
      </c>
      <c r="B16" s="252" t="s">
        <v>185</v>
      </c>
      <c r="C16" s="252" t="s">
        <v>185</v>
      </c>
      <c r="D16" s="252">
        <v>385</v>
      </c>
      <c r="E16" s="252">
        <v>359</v>
      </c>
      <c r="F16" s="252">
        <v>436</v>
      </c>
      <c r="G16" s="252">
        <v>301</v>
      </c>
    </row>
    <row r="17" spans="1:7" x14ac:dyDescent="0.3">
      <c r="A17" s="62" t="s">
        <v>476</v>
      </c>
      <c r="B17" s="252" t="s">
        <v>185</v>
      </c>
      <c r="C17" s="252" t="s">
        <v>185</v>
      </c>
      <c r="D17" s="252">
        <v>12</v>
      </c>
      <c r="E17" s="252">
        <v>132</v>
      </c>
      <c r="F17" s="252">
        <v>52</v>
      </c>
      <c r="G17" s="252">
        <v>12</v>
      </c>
    </row>
    <row r="18" spans="1:7" ht="15" customHeight="1" x14ac:dyDescent="0.3">
      <c r="A18" s="210" t="s">
        <v>503</v>
      </c>
      <c r="B18" s="210"/>
      <c r="C18" s="210"/>
      <c r="D18" s="210"/>
      <c r="E18" s="210"/>
      <c r="F18" s="210"/>
      <c r="G18" s="210"/>
    </row>
    <row r="19" spans="1:7" x14ac:dyDescent="0.3">
      <c r="A19" s="211"/>
      <c r="B19" s="211"/>
      <c r="C19" s="211"/>
      <c r="D19" s="211"/>
      <c r="E19" s="211"/>
      <c r="F19" s="211"/>
      <c r="G19" s="211"/>
    </row>
    <row r="20" spans="1:7" x14ac:dyDescent="0.3">
      <c r="A20" s="211"/>
      <c r="B20" s="211"/>
      <c r="C20" s="211"/>
      <c r="D20" s="211"/>
      <c r="E20" s="211"/>
      <c r="F20" s="211"/>
      <c r="G20" s="211"/>
    </row>
    <row r="21" spans="1:7" x14ac:dyDescent="0.3">
      <c r="A21" s="211"/>
      <c r="B21" s="211"/>
      <c r="C21" s="211"/>
      <c r="D21" s="211"/>
      <c r="E21" s="211"/>
      <c r="F21" s="211"/>
      <c r="G21" s="211"/>
    </row>
    <row r="22" spans="1:7" x14ac:dyDescent="0.3">
      <c r="A22" s="211"/>
      <c r="B22" s="211"/>
      <c r="C22" s="211"/>
      <c r="D22" s="211"/>
      <c r="E22" s="211"/>
      <c r="F22" s="211"/>
      <c r="G22" s="211"/>
    </row>
    <row r="23" spans="1:7" x14ac:dyDescent="0.3">
      <c r="A23" s="211"/>
      <c r="B23" s="211"/>
      <c r="C23" s="211"/>
      <c r="D23" s="211"/>
      <c r="E23" s="211"/>
      <c r="F23" s="211"/>
      <c r="G23" s="211"/>
    </row>
    <row r="24" spans="1:7" x14ac:dyDescent="0.3">
      <c r="A24" s="211"/>
      <c r="B24" s="211"/>
      <c r="C24" s="211"/>
      <c r="D24" s="211"/>
      <c r="E24" s="211"/>
      <c r="F24" s="211"/>
      <c r="G24" s="211"/>
    </row>
    <row r="25" spans="1:7" x14ac:dyDescent="0.3">
      <c r="A25" s="211"/>
      <c r="B25" s="211"/>
      <c r="C25" s="211"/>
      <c r="D25" s="211"/>
      <c r="E25" s="211"/>
      <c r="F25" s="211"/>
      <c r="G25" s="211"/>
    </row>
    <row r="26" spans="1:7" x14ac:dyDescent="0.3">
      <c r="A26" s="211"/>
      <c r="B26" s="211"/>
      <c r="C26" s="211"/>
      <c r="D26" s="211"/>
      <c r="E26" s="211"/>
      <c r="F26" s="211"/>
      <c r="G26" s="211"/>
    </row>
  </sheetData>
  <mergeCells count="3">
    <mergeCell ref="A3:G3"/>
    <mergeCell ref="A14:G14"/>
    <mergeCell ref="A8:G8"/>
  </mergeCells>
  <hyperlinks>
    <hyperlink ref="A1" location="Inhoud!A1" display="Terug naar inhoud" xr:uid="{C0FDDD9C-74DF-4D34-8F47-2C331BF7CBB2}"/>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6C163-DBA4-4B86-A3DE-CFB50CAE6DA4}">
  <sheetPr codeName="Blad34"/>
  <dimension ref="A1:I27"/>
  <sheetViews>
    <sheetView workbookViewId="0">
      <selection activeCell="A2" sqref="A2"/>
    </sheetView>
  </sheetViews>
  <sheetFormatPr defaultColWidth="9.109375" defaultRowHeight="14.1" customHeight="1" x14ac:dyDescent="0.3"/>
  <cols>
    <col min="1" max="1" width="14.5546875" style="7" customWidth="1"/>
    <col min="2" max="2" width="42.33203125" style="7" bestFit="1" customWidth="1"/>
    <col min="3" max="3" width="15.33203125" style="7" customWidth="1"/>
    <col min="4" max="9" width="9.5546875" style="7" bestFit="1" customWidth="1"/>
    <col min="10" max="11" width="9.109375" style="7" customWidth="1"/>
    <col min="12" max="16384" width="9.109375" style="7"/>
  </cols>
  <sheetData>
    <row r="1" spans="1:9" ht="14.1" customHeight="1" x14ac:dyDescent="0.3">
      <c r="A1" s="375" t="s">
        <v>95</v>
      </c>
    </row>
    <row r="2" spans="1:9" ht="14.1" customHeight="1" x14ac:dyDescent="0.3">
      <c r="A2" s="8" t="s">
        <v>504</v>
      </c>
    </row>
    <row r="3" spans="1:9" s="208" customFormat="1" ht="14.1" customHeight="1" x14ac:dyDescent="0.3">
      <c r="A3" s="217"/>
      <c r="B3" s="218"/>
      <c r="C3" s="219" t="s">
        <v>505</v>
      </c>
      <c r="D3" s="212" t="s">
        <v>98</v>
      </c>
      <c r="E3" s="212" t="s">
        <v>99</v>
      </c>
      <c r="F3" s="212" t="s">
        <v>100</v>
      </c>
      <c r="G3" s="213" t="s">
        <v>101</v>
      </c>
      <c r="H3" s="213" t="s">
        <v>102</v>
      </c>
      <c r="I3" s="213" t="s">
        <v>447</v>
      </c>
    </row>
    <row r="4" spans="1:9" ht="14.1" customHeight="1" x14ac:dyDescent="0.3">
      <c r="A4" s="214" t="s">
        <v>506</v>
      </c>
      <c r="B4" s="215" t="s">
        <v>448</v>
      </c>
      <c r="C4" s="216"/>
      <c r="D4" s="221">
        <v>0</v>
      </c>
      <c r="E4" s="221">
        <v>0</v>
      </c>
      <c r="F4" s="221">
        <v>2</v>
      </c>
      <c r="G4" s="220">
        <v>0</v>
      </c>
      <c r="H4" s="220">
        <v>2</v>
      </c>
      <c r="I4" s="220">
        <v>0</v>
      </c>
    </row>
    <row r="5" spans="1:9" ht="14.1" customHeight="1" x14ac:dyDescent="0.3">
      <c r="A5" s="573"/>
      <c r="B5" s="574" t="s">
        <v>507</v>
      </c>
      <c r="C5" s="216" t="s">
        <v>508</v>
      </c>
      <c r="D5" s="221">
        <v>1</v>
      </c>
      <c r="E5" s="221">
        <v>1</v>
      </c>
      <c r="F5" s="221">
        <v>0</v>
      </c>
      <c r="G5" s="220">
        <v>0</v>
      </c>
      <c r="H5" s="220">
        <v>1</v>
      </c>
      <c r="I5" s="220">
        <v>1</v>
      </c>
    </row>
    <row r="6" spans="1:9" ht="14.1" customHeight="1" x14ac:dyDescent="0.3">
      <c r="A6" s="573"/>
      <c r="B6" s="574"/>
      <c r="C6" s="216" t="s">
        <v>509</v>
      </c>
      <c r="D6" s="221">
        <v>0</v>
      </c>
      <c r="E6" s="221">
        <v>0</v>
      </c>
      <c r="F6" s="221">
        <v>0</v>
      </c>
      <c r="G6" s="220">
        <v>1</v>
      </c>
      <c r="H6" s="220">
        <v>2</v>
      </c>
      <c r="I6" s="220">
        <v>2</v>
      </c>
    </row>
    <row r="7" spans="1:9" ht="14.1" customHeight="1" x14ac:dyDescent="0.3">
      <c r="A7" s="573"/>
      <c r="B7" s="574"/>
      <c r="C7" s="216" t="s">
        <v>510</v>
      </c>
      <c r="D7" s="221">
        <v>0</v>
      </c>
      <c r="E7" s="221">
        <v>1</v>
      </c>
      <c r="F7" s="221">
        <v>0</v>
      </c>
      <c r="G7" s="220">
        <v>0</v>
      </c>
      <c r="H7" s="220">
        <v>0</v>
      </c>
      <c r="I7" s="220">
        <v>0</v>
      </c>
    </row>
    <row r="8" spans="1:9" ht="14.1" customHeight="1" x14ac:dyDescent="0.3">
      <c r="A8" s="573"/>
      <c r="B8" s="574"/>
      <c r="C8" s="216" t="s">
        <v>511</v>
      </c>
      <c r="D8" s="221">
        <v>3</v>
      </c>
      <c r="E8" s="221">
        <v>5</v>
      </c>
      <c r="F8" s="221">
        <v>4</v>
      </c>
      <c r="G8" s="220">
        <v>0</v>
      </c>
      <c r="H8" s="220">
        <v>1</v>
      </c>
      <c r="I8" s="220">
        <v>1</v>
      </c>
    </row>
    <row r="9" spans="1:9" ht="14.1" customHeight="1" x14ac:dyDescent="0.3">
      <c r="A9" s="573"/>
      <c r="B9" s="574" t="s">
        <v>512</v>
      </c>
      <c r="C9" s="216" t="s">
        <v>513</v>
      </c>
      <c r="D9" s="221">
        <v>0</v>
      </c>
      <c r="E9" s="221">
        <v>0</v>
      </c>
      <c r="F9" s="221">
        <v>0</v>
      </c>
      <c r="G9" s="220">
        <v>0</v>
      </c>
      <c r="H9" s="220">
        <v>0</v>
      </c>
      <c r="I9" s="220">
        <v>0</v>
      </c>
    </row>
    <row r="10" spans="1:9" ht="14.1" customHeight="1" x14ac:dyDescent="0.3">
      <c r="A10" s="573"/>
      <c r="B10" s="574"/>
      <c r="C10" s="216" t="s">
        <v>514</v>
      </c>
      <c r="D10" s="221">
        <v>0</v>
      </c>
      <c r="E10" s="221">
        <v>0</v>
      </c>
      <c r="F10" s="221">
        <v>0</v>
      </c>
      <c r="G10" s="220">
        <v>0</v>
      </c>
      <c r="H10" s="220">
        <v>0</v>
      </c>
      <c r="I10" s="220">
        <v>0</v>
      </c>
    </row>
    <row r="11" spans="1:9" ht="14.1" customHeight="1" x14ac:dyDescent="0.3">
      <c r="A11" s="573"/>
      <c r="B11" s="574"/>
      <c r="C11" s="216" t="s">
        <v>515</v>
      </c>
      <c r="D11" s="221">
        <v>1</v>
      </c>
      <c r="E11" s="221">
        <v>1</v>
      </c>
      <c r="F11" s="221">
        <v>1</v>
      </c>
      <c r="G11" s="220">
        <v>1</v>
      </c>
      <c r="H11" s="220">
        <v>1</v>
      </c>
      <c r="I11" s="220">
        <v>2</v>
      </c>
    </row>
    <row r="12" spans="1:9" ht="14.1" customHeight="1" x14ac:dyDescent="0.3">
      <c r="A12" s="573"/>
      <c r="B12" s="574"/>
      <c r="C12" s="216" t="s">
        <v>516</v>
      </c>
      <c r="D12" s="221">
        <v>0</v>
      </c>
      <c r="E12" s="221">
        <v>0</v>
      </c>
      <c r="F12" s="221">
        <v>0</v>
      </c>
      <c r="G12" s="220">
        <v>0</v>
      </c>
      <c r="H12" s="220">
        <v>0</v>
      </c>
      <c r="I12" s="220">
        <v>0</v>
      </c>
    </row>
    <row r="13" spans="1:9" ht="14.1" customHeight="1" x14ac:dyDescent="0.3">
      <c r="A13" s="573"/>
      <c r="B13" s="574"/>
      <c r="C13" s="216" t="s">
        <v>517</v>
      </c>
      <c r="D13" s="221">
        <v>0</v>
      </c>
      <c r="E13" s="221">
        <v>0</v>
      </c>
      <c r="F13" s="221">
        <v>0</v>
      </c>
      <c r="G13" s="220">
        <v>3</v>
      </c>
      <c r="H13" s="220">
        <v>0</v>
      </c>
      <c r="I13" s="220">
        <v>1</v>
      </c>
    </row>
    <row r="14" spans="1:9" ht="14.1" customHeight="1" x14ac:dyDescent="0.3">
      <c r="A14" s="573"/>
      <c r="B14" s="574"/>
      <c r="C14" s="216" t="s">
        <v>518</v>
      </c>
      <c r="D14" s="221">
        <v>2</v>
      </c>
      <c r="E14" s="221">
        <v>0</v>
      </c>
      <c r="F14" s="221">
        <v>0</v>
      </c>
      <c r="G14" s="220">
        <v>0</v>
      </c>
      <c r="H14" s="220">
        <v>0</v>
      </c>
      <c r="I14" s="220">
        <v>0</v>
      </c>
    </row>
    <row r="15" spans="1:9" ht="14.1" customHeight="1" x14ac:dyDescent="0.3">
      <c r="A15" s="573"/>
      <c r="B15" s="574"/>
      <c r="C15" s="216" t="s">
        <v>519</v>
      </c>
      <c r="D15" s="221">
        <v>2</v>
      </c>
      <c r="E15" s="221">
        <v>1</v>
      </c>
      <c r="F15" s="221">
        <v>0</v>
      </c>
      <c r="G15" s="220">
        <v>1</v>
      </c>
      <c r="H15" s="220">
        <v>3</v>
      </c>
      <c r="I15" s="220">
        <v>3</v>
      </c>
    </row>
    <row r="16" spans="1:9" ht="14.1" customHeight="1" x14ac:dyDescent="0.3">
      <c r="A16" s="214" t="s">
        <v>520</v>
      </c>
      <c r="B16" s="255" t="s">
        <v>521</v>
      </c>
      <c r="C16" s="216"/>
      <c r="D16" s="221">
        <v>0</v>
      </c>
      <c r="E16" s="221">
        <v>0</v>
      </c>
      <c r="F16" s="221">
        <v>0</v>
      </c>
      <c r="G16" s="220">
        <v>1</v>
      </c>
      <c r="H16" s="220">
        <v>0</v>
      </c>
      <c r="I16" s="220">
        <v>0</v>
      </c>
    </row>
    <row r="17" spans="1:9" ht="14.1" customHeight="1" x14ac:dyDescent="0.3">
      <c r="A17" s="573"/>
      <c r="B17" s="255" t="s">
        <v>522</v>
      </c>
      <c r="C17" s="216"/>
      <c r="D17" s="221">
        <v>2</v>
      </c>
      <c r="E17" s="221">
        <v>0</v>
      </c>
      <c r="F17" s="221">
        <v>4</v>
      </c>
      <c r="G17" s="220">
        <v>5</v>
      </c>
      <c r="H17" s="220">
        <v>1</v>
      </c>
      <c r="I17" s="220">
        <v>2</v>
      </c>
    </row>
    <row r="18" spans="1:9" ht="14.1" customHeight="1" x14ac:dyDescent="0.3">
      <c r="A18" s="573"/>
      <c r="B18" s="255" t="s">
        <v>523</v>
      </c>
      <c r="C18" s="216"/>
      <c r="D18" s="221">
        <v>1</v>
      </c>
      <c r="E18" s="221">
        <v>1</v>
      </c>
      <c r="F18" s="221">
        <v>0</v>
      </c>
      <c r="G18" s="220">
        <v>0</v>
      </c>
      <c r="H18" s="220">
        <v>0</v>
      </c>
      <c r="I18" s="220">
        <v>0</v>
      </c>
    </row>
    <row r="19" spans="1:9" ht="14.1" customHeight="1" x14ac:dyDescent="0.3">
      <c r="A19" s="573"/>
      <c r="B19" s="255" t="s">
        <v>524</v>
      </c>
      <c r="C19" s="216"/>
      <c r="D19" s="221">
        <v>0</v>
      </c>
      <c r="E19" s="221">
        <v>0</v>
      </c>
      <c r="F19" s="221">
        <v>1</v>
      </c>
      <c r="G19" s="220" t="s">
        <v>185</v>
      </c>
      <c r="H19" s="220" t="s">
        <v>185</v>
      </c>
      <c r="I19" s="220" t="s">
        <v>185</v>
      </c>
    </row>
    <row r="20" spans="1:9" ht="14.1" customHeight="1" x14ac:dyDescent="0.3">
      <c r="A20" s="573"/>
      <c r="B20" s="255" t="s">
        <v>525</v>
      </c>
      <c r="C20" s="216"/>
      <c r="D20" s="221">
        <v>1</v>
      </c>
      <c r="E20" s="221">
        <v>1</v>
      </c>
      <c r="F20" s="221">
        <v>3</v>
      </c>
      <c r="G20" s="220">
        <v>1</v>
      </c>
      <c r="H20" s="220">
        <v>0</v>
      </c>
      <c r="I20" s="220" t="s">
        <v>185</v>
      </c>
    </row>
    <row r="21" spans="1:9" ht="14.1" customHeight="1" x14ac:dyDescent="0.3">
      <c r="A21" s="573"/>
      <c r="B21" s="255" t="s">
        <v>526</v>
      </c>
      <c r="C21" s="216"/>
      <c r="D21" s="221">
        <v>0</v>
      </c>
      <c r="E21" s="221">
        <v>0</v>
      </c>
      <c r="F21" s="221">
        <v>0</v>
      </c>
      <c r="G21" s="220">
        <v>0</v>
      </c>
      <c r="H21" s="220">
        <v>1</v>
      </c>
      <c r="I21" s="220">
        <v>0</v>
      </c>
    </row>
    <row r="22" spans="1:9" ht="14.1" customHeight="1" x14ac:dyDescent="0.3">
      <c r="A22" s="573"/>
      <c r="B22" s="255" t="s">
        <v>527</v>
      </c>
      <c r="C22" s="216" t="s">
        <v>528</v>
      </c>
      <c r="D22" s="221">
        <v>0</v>
      </c>
      <c r="E22" s="221">
        <v>0</v>
      </c>
      <c r="F22" s="221">
        <v>0</v>
      </c>
      <c r="G22" s="220">
        <v>1</v>
      </c>
      <c r="H22" s="220">
        <v>0</v>
      </c>
      <c r="I22" s="220">
        <v>1</v>
      </c>
    </row>
    <row r="23" spans="1:9" ht="14.1" customHeight="1" x14ac:dyDescent="0.3">
      <c r="A23" s="573"/>
      <c r="B23" s="255" t="s">
        <v>529</v>
      </c>
      <c r="C23" s="216"/>
      <c r="D23" s="221">
        <v>1</v>
      </c>
      <c r="E23" s="221">
        <v>2</v>
      </c>
      <c r="F23" s="221">
        <v>2</v>
      </c>
      <c r="G23" s="220">
        <v>8</v>
      </c>
      <c r="H23" s="220">
        <v>0</v>
      </c>
      <c r="I23" s="220">
        <v>1</v>
      </c>
    </row>
    <row r="24" spans="1:9" ht="14.1" customHeight="1" x14ac:dyDescent="0.3">
      <c r="A24" s="573"/>
      <c r="B24" s="255" t="s">
        <v>530</v>
      </c>
      <c r="C24" s="216"/>
      <c r="D24" s="221">
        <v>3</v>
      </c>
      <c r="E24" s="221">
        <v>0</v>
      </c>
      <c r="F24" s="221">
        <v>0</v>
      </c>
      <c r="G24" s="220">
        <v>2</v>
      </c>
      <c r="H24" s="220">
        <v>2</v>
      </c>
      <c r="I24" s="220">
        <v>1</v>
      </c>
    </row>
    <row r="25" spans="1:9" ht="14.1" customHeight="1" x14ac:dyDescent="0.3">
      <c r="A25" s="214" t="s">
        <v>531</v>
      </c>
      <c r="B25" s="215" t="s">
        <v>532</v>
      </c>
      <c r="C25" s="254"/>
      <c r="D25" s="221">
        <v>16</v>
      </c>
      <c r="E25" s="221">
        <v>21</v>
      </c>
      <c r="F25" s="221">
        <v>19</v>
      </c>
      <c r="G25" s="220">
        <v>10</v>
      </c>
      <c r="H25" s="220">
        <v>4</v>
      </c>
      <c r="I25" s="220">
        <v>7</v>
      </c>
    </row>
    <row r="26" spans="1:9" ht="14.1" customHeight="1" x14ac:dyDescent="0.3">
      <c r="A26" s="575"/>
      <c r="B26" s="215" t="s">
        <v>533</v>
      </c>
      <c r="C26" s="254"/>
      <c r="D26" s="221">
        <v>0</v>
      </c>
      <c r="E26" s="221">
        <v>0</v>
      </c>
      <c r="F26" s="221">
        <v>8</v>
      </c>
      <c r="G26" s="220">
        <v>0</v>
      </c>
      <c r="H26" s="220">
        <v>2</v>
      </c>
      <c r="I26" s="220">
        <v>1</v>
      </c>
    </row>
    <row r="27" spans="1:9" ht="14.1" customHeight="1" x14ac:dyDescent="0.3">
      <c r="A27" s="575"/>
      <c r="B27" s="255" t="s">
        <v>534</v>
      </c>
      <c r="C27" s="254"/>
      <c r="D27" s="221">
        <v>7</v>
      </c>
      <c r="E27" s="221">
        <v>11</v>
      </c>
      <c r="F27" s="221">
        <v>3</v>
      </c>
      <c r="G27" s="220">
        <v>0</v>
      </c>
      <c r="H27" s="220">
        <v>3</v>
      </c>
      <c r="I27" s="220">
        <v>8</v>
      </c>
    </row>
  </sheetData>
  <mergeCells count="5">
    <mergeCell ref="A5:A15"/>
    <mergeCell ref="B5:B8"/>
    <mergeCell ref="B9:B15"/>
    <mergeCell ref="A17:A24"/>
    <mergeCell ref="A26:A27"/>
  </mergeCells>
  <hyperlinks>
    <hyperlink ref="A1" location="Inhoud!A1" display="Terug naar inhoud" xr:uid="{613406D5-F22C-4FDB-99DE-DD4B89A53D03}"/>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0CA43-E6F4-49F4-A884-7F972B00A913}">
  <sheetPr codeName="Blad35"/>
  <dimension ref="A1:O37"/>
  <sheetViews>
    <sheetView workbookViewId="0">
      <selection activeCell="A2" sqref="A2"/>
    </sheetView>
  </sheetViews>
  <sheetFormatPr defaultColWidth="9.109375" defaultRowHeight="14.4" x14ac:dyDescent="0.3"/>
  <cols>
    <col min="1" max="1" width="7" style="7" customWidth="1"/>
    <col min="2" max="2" width="29.5546875" style="41" bestFit="1" customWidth="1"/>
    <col min="3" max="3" width="10.44140625" style="7" customWidth="1"/>
    <col min="4" max="4" width="9.88671875" style="7" customWidth="1"/>
    <col min="5" max="5" width="9.109375" style="7"/>
    <col min="6" max="6" width="10.88671875" style="7" customWidth="1"/>
    <col min="7" max="7" width="9.109375" style="7"/>
    <col min="8" max="8" width="10.88671875" style="7" customWidth="1"/>
    <col min="9" max="9" width="9.109375" style="7"/>
    <col min="10" max="10" width="10.88671875" style="7" customWidth="1"/>
    <col min="11" max="11" width="9.109375" style="7"/>
    <col min="12" max="12" width="10.33203125" style="7" customWidth="1"/>
    <col min="13" max="13" width="9.109375" style="7"/>
    <col min="14" max="14" width="9.6640625" style="7" customWidth="1"/>
    <col min="15" max="15" width="10.6640625" style="7" customWidth="1"/>
    <col min="16" max="16384" width="9.109375" style="7"/>
  </cols>
  <sheetData>
    <row r="1" spans="1:15" x14ac:dyDescent="0.3">
      <c r="A1" s="375" t="s">
        <v>95</v>
      </c>
    </row>
    <row r="2" spans="1:15" x14ac:dyDescent="0.3">
      <c r="A2" s="8" t="s">
        <v>535</v>
      </c>
      <c r="B2" s="7"/>
    </row>
    <row r="3" spans="1:15" ht="15" customHeight="1" x14ac:dyDescent="0.3">
      <c r="A3" s="581" t="s">
        <v>472</v>
      </c>
      <c r="B3" s="582"/>
      <c r="C3" s="583"/>
      <c r="D3" s="577" t="s">
        <v>492</v>
      </c>
      <c r="E3" s="578"/>
      <c r="F3" s="579" t="s">
        <v>500</v>
      </c>
      <c r="G3" s="579"/>
      <c r="H3" s="572" t="s">
        <v>536</v>
      </c>
      <c r="I3" s="572"/>
      <c r="J3" s="572" t="s">
        <v>495</v>
      </c>
      <c r="K3" s="572"/>
      <c r="L3" s="572" t="s">
        <v>496</v>
      </c>
      <c r="M3" s="572"/>
      <c r="N3" s="572" t="s">
        <v>497</v>
      </c>
      <c r="O3" s="572"/>
    </row>
    <row r="4" spans="1:15" ht="43.2" x14ac:dyDescent="0.3">
      <c r="A4" s="130" t="s">
        <v>537</v>
      </c>
      <c r="B4" s="251" t="s">
        <v>538</v>
      </c>
      <c r="C4" s="130" t="s">
        <v>539</v>
      </c>
      <c r="D4" s="253" t="s">
        <v>540</v>
      </c>
      <c r="E4" s="253" t="s">
        <v>477</v>
      </c>
      <c r="F4" s="253" t="s">
        <v>540</v>
      </c>
      <c r="G4" s="253" t="s">
        <v>477</v>
      </c>
      <c r="H4" s="253" t="s">
        <v>540</v>
      </c>
      <c r="I4" s="253" t="s">
        <v>477</v>
      </c>
      <c r="J4" s="253" t="s">
        <v>540</v>
      </c>
      <c r="K4" s="253" t="s">
        <v>477</v>
      </c>
      <c r="L4" s="253" t="s">
        <v>540</v>
      </c>
      <c r="M4" s="253" t="s">
        <v>477</v>
      </c>
      <c r="N4" s="253" t="s">
        <v>540</v>
      </c>
      <c r="O4" s="253" t="s">
        <v>477</v>
      </c>
    </row>
    <row r="5" spans="1:15" x14ac:dyDescent="0.3">
      <c r="A5" s="580" t="s">
        <v>519</v>
      </c>
      <c r="B5" s="576" t="s">
        <v>541</v>
      </c>
      <c r="C5" s="256" t="s">
        <v>542</v>
      </c>
      <c r="D5" s="203">
        <v>2</v>
      </c>
      <c r="E5" s="203">
        <v>2</v>
      </c>
      <c r="F5" s="203">
        <v>1</v>
      </c>
      <c r="G5" s="203">
        <v>1</v>
      </c>
      <c r="H5" s="202">
        <v>0</v>
      </c>
      <c r="I5" s="202">
        <v>0</v>
      </c>
      <c r="J5" s="202">
        <v>1</v>
      </c>
      <c r="K5" s="202">
        <v>1</v>
      </c>
      <c r="L5" s="202">
        <v>3</v>
      </c>
      <c r="M5" s="202">
        <v>3</v>
      </c>
      <c r="N5" s="206">
        <v>3</v>
      </c>
      <c r="O5" s="206">
        <v>1</v>
      </c>
    </row>
    <row r="6" spans="1:15" x14ac:dyDescent="0.3">
      <c r="A6" s="580"/>
      <c r="B6" s="576"/>
      <c r="C6" s="256" t="s">
        <v>476</v>
      </c>
      <c r="D6" s="203">
        <v>2</v>
      </c>
      <c r="E6" s="203">
        <v>0</v>
      </c>
      <c r="F6" s="203">
        <v>0</v>
      </c>
      <c r="G6" s="203">
        <v>0</v>
      </c>
      <c r="H6" s="202">
        <v>0</v>
      </c>
      <c r="I6" s="202">
        <v>0</v>
      </c>
      <c r="J6" s="202">
        <v>0</v>
      </c>
      <c r="K6" s="202">
        <v>0</v>
      </c>
      <c r="L6" s="202">
        <v>0</v>
      </c>
      <c r="M6" s="202">
        <v>0</v>
      </c>
      <c r="N6" s="206">
        <v>1</v>
      </c>
      <c r="O6" s="206">
        <v>0</v>
      </c>
    </row>
    <row r="7" spans="1:15" x14ac:dyDescent="0.3">
      <c r="A7" s="580"/>
      <c r="B7" s="576" t="s">
        <v>543</v>
      </c>
      <c r="C7" s="256" t="s">
        <v>542</v>
      </c>
      <c r="D7" s="203">
        <v>3</v>
      </c>
      <c r="E7" s="203">
        <v>2</v>
      </c>
      <c r="F7" s="203">
        <v>6</v>
      </c>
      <c r="G7" s="203">
        <v>6</v>
      </c>
      <c r="H7" s="202">
        <v>3</v>
      </c>
      <c r="I7" s="202">
        <v>2</v>
      </c>
      <c r="J7" s="202">
        <v>1</v>
      </c>
      <c r="K7" s="202">
        <v>1</v>
      </c>
      <c r="L7" s="202">
        <v>2</v>
      </c>
      <c r="M7" s="202">
        <v>2</v>
      </c>
      <c r="N7" s="206">
        <v>2</v>
      </c>
      <c r="O7" s="206">
        <v>0</v>
      </c>
    </row>
    <row r="8" spans="1:15" x14ac:dyDescent="0.3">
      <c r="A8" s="580"/>
      <c r="B8" s="576"/>
      <c r="C8" s="256" t="s">
        <v>476</v>
      </c>
      <c r="D8" s="203">
        <v>1</v>
      </c>
      <c r="E8" s="203">
        <v>0</v>
      </c>
      <c r="F8" s="203">
        <v>2</v>
      </c>
      <c r="G8" s="203">
        <v>0</v>
      </c>
      <c r="H8" s="202">
        <v>0</v>
      </c>
      <c r="I8" s="202">
        <v>0</v>
      </c>
      <c r="J8" s="202">
        <v>0</v>
      </c>
      <c r="K8" s="202">
        <v>0</v>
      </c>
      <c r="L8" s="202">
        <v>0</v>
      </c>
      <c r="M8" s="202">
        <v>0</v>
      </c>
      <c r="N8" s="206">
        <v>3</v>
      </c>
      <c r="O8" s="206">
        <v>0</v>
      </c>
    </row>
    <row r="9" spans="1:15" x14ac:dyDescent="0.3">
      <c r="A9" s="580"/>
      <c r="B9" s="576" t="s">
        <v>448</v>
      </c>
      <c r="C9" s="256" t="s">
        <v>542</v>
      </c>
      <c r="D9" s="203">
        <v>0</v>
      </c>
      <c r="E9" s="203">
        <v>0</v>
      </c>
      <c r="F9" s="203">
        <v>0</v>
      </c>
      <c r="G9" s="203">
        <v>0</v>
      </c>
      <c r="H9" s="202">
        <v>1</v>
      </c>
      <c r="I9" s="202">
        <v>1</v>
      </c>
      <c r="J9" s="202">
        <v>0</v>
      </c>
      <c r="K9" s="202">
        <v>0</v>
      </c>
      <c r="L9" s="202">
        <v>1</v>
      </c>
      <c r="M9" s="202">
        <v>1</v>
      </c>
      <c r="N9" s="206">
        <v>0</v>
      </c>
      <c r="O9" s="206">
        <v>0</v>
      </c>
    </row>
    <row r="10" spans="1:15" x14ac:dyDescent="0.3">
      <c r="A10" s="580"/>
      <c r="B10" s="576"/>
      <c r="C10" s="256" t="s">
        <v>476</v>
      </c>
      <c r="D10" s="203">
        <v>0</v>
      </c>
      <c r="E10" s="203">
        <v>0</v>
      </c>
      <c r="F10" s="203">
        <v>0</v>
      </c>
      <c r="G10" s="203">
        <v>0</v>
      </c>
      <c r="H10" s="202">
        <v>0</v>
      </c>
      <c r="I10" s="202">
        <v>0</v>
      </c>
      <c r="J10" s="202">
        <v>0</v>
      </c>
      <c r="K10" s="202">
        <v>0</v>
      </c>
      <c r="L10" s="202">
        <v>0</v>
      </c>
      <c r="M10" s="202">
        <v>0</v>
      </c>
      <c r="N10" s="206">
        <v>0</v>
      </c>
      <c r="O10" s="206">
        <v>0</v>
      </c>
    </row>
    <row r="11" spans="1:15" x14ac:dyDescent="0.3">
      <c r="A11" s="580" t="s">
        <v>518</v>
      </c>
      <c r="B11" s="576" t="s">
        <v>541</v>
      </c>
      <c r="C11" s="256" t="s">
        <v>542</v>
      </c>
      <c r="D11" s="203">
        <v>2</v>
      </c>
      <c r="E11" s="203">
        <v>2</v>
      </c>
      <c r="F11" s="203">
        <v>0</v>
      </c>
      <c r="G11" s="203">
        <v>0</v>
      </c>
      <c r="H11" s="202">
        <v>0</v>
      </c>
      <c r="I11" s="202">
        <v>0</v>
      </c>
      <c r="J11" s="202">
        <v>0</v>
      </c>
      <c r="K11" s="202">
        <v>0</v>
      </c>
      <c r="L11" s="202">
        <v>0</v>
      </c>
      <c r="M11" s="202">
        <v>0</v>
      </c>
      <c r="N11" s="206">
        <v>0</v>
      </c>
      <c r="O11" s="206">
        <v>0</v>
      </c>
    </row>
    <row r="12" spans="1:15" x14ac:dyDescent="0.3">
      <c r="A12" s="580"/>
      <c r="B12" s="576"/>
      <c r="C12" s="256" t="s">
        <v>476</v>
      </c>
      <c r="D12" s="203">
        <v>0</v>
      </c>
      <c r="E12" s="203">
        <v>0</v>
      </c>
      <c r="F12" s="203">
        <v>0</v>
      </c>
      <c r="G12" s="203">
        <v>0</v>
      </c>
      <c r="H12" s="202">
        <v>0</v>
      </c>
      <c r="I12" s="202">
        <v>0</v>
      </c>
      <c r="J12" s="202">
        <v>0</v>
      </c>
      <c r="K12" s="202">
        <v>0</v>
      </c>
      <c r="L12" s="202">
        <v>0</v>
      </c>
      <c r="M12" s="202">
        <v>0</v>
      </c>
      <c r="N12" s="206">
        <v>0</v>
      </c>
      <c r="O12" s="206">
        <v>0</v>
      </c>
    </row>
    <row r="13" spans="1:15" x14ac:dyDescent="0.3">
      <c r="A13" s="580" t="s">
        <v>517</v>
      </c>
      <c r="B13" s="576" t="s">
        <v>541</v>
      </c>
      <c r="C13" s="256" t="s">
        <v>542</v>
      </c>
      <c r="D13" s="203">
        <v>0</v>
      </c>
      <c r="E13" s="203">
        <v>0</v>
      </c>
      <c r="F13" s="203">
        <v>0</v>
      </c>
      <c r="G13" s="203">
        <v>0</v>
      </c>
      <c r="H13" s="202">
        <v>0</v>
      </c>
      <c r="I13" s="202">
        <v>0</v>
      </c>
      <c r="J13" s="202">
        <v>3</v>
      </c>
      <c r="K13" s="202">
        <v>3</v>
      </c>
      <c r="L13" s="202">
        <v>0</v>
      </c>
      <c r="M13" s="202">
        <v>0</v>
      </c>
      <c r="N13" s="206">
        <v>1</v>
      </c>
      <c r="O13" s="206">
        <v>1</v>
      </c>
    </row>
    <row r="14" spans="1:15" x14ac:dyDescent="0.3">
      <c r="A14" s="580"/>
      <c r="B14" s="576"/>
      <c r="C14" s="256" t="s">
        <v>476</v>
      </c>
      <c r="D14" s="203">
        <v>0</v>
      </c>
      <c r="E14" s="203">
        <v>0</v>
      </c>
      <c r="F14" s="203">
        <v>0</v>
      </c>
      <c r="G14" s="203">
        <v>0</v>
      </c>
      <c r="H14" s="202">
        <v>0</v>
      </c>
      <c r="I14" s="202">
        <v>0</v>
      </c>
      <c r="J14" s="202">
        <v>0</v>
      </c>
      <c r="K14" s="202">
        <v>0</v>
      </c>
      <c r="L14" s="202">
        <v>0</v>
      </c>
      <c r="M14" s="202">
        <v>0</v>
      </c>
      <c r="N14" s="206">
        <v>0</v>
      </c>
      <c r="O14" s="206">
        <v>0</v>
      </c>
    </row>
    <row r="15" spans="1:15" x14ac:dyDescent="0.3">
      <c r="A15" s="580" t="s">
        <v>544</v>
      </c>
      <c r="B15" s="576" t="s">
        <v>448</v>
      </c>
      <c r="C15" s="256" t="s">
        <v>475</v>
      </c>
      <c r="D15" s="203">
        <v>0</v>
      </c>
      <c r="E15" s="203">
        <v>0</v>
      </c>
      <c r="F15" s="203">
        <v>0</v>
      </c>
      <c r="G15" s="203">
        <v>0</v>
      </c>
      <c r="H15" s="202">
        <v>1</v>
      </c>
      <c r="I15" s="202">
        <v>1</v>
      </c>
      <c r="J15" s="202">
        <v>0</v>
      </c>
      <c r="K15" s="202">
        <v>0</v>
      </c>
      <c r="L15" s="202">
        <v>1</v>
      </c>
      <c r="M15" s="202">
        <v>1</v>
      </c>
      <c r="N15" s="206">
        <v>0</v>
      </c>
      <c r="O15" s="206">
        <v>0</v>
      </c>
    </row>
    <row r="16" spans="1:15" x14ac:dyDescent="0.3">
      <c r="A16" s="580"/>
      <c r="B16" s="576"/>
      <c r="C16" s="256" t="s">
        <v>476</v>
      </c>
      <c r="D16" s="203">
        <v>0</v>
      </c>
      <c r="E16" s="203">
        <v>0</v>
      </c>
      <c r="F16" s="203">
        <v>0</v>
      </c>
      <c r="G16" s="203">
        <v>0</v>
      </c>
      <c r="H16" s="202">
        <v>0</v>
      </c>
      <c r="I16" s="202">
        <v>0</v>
      </c>
      <c r="J16" s="202">
        <v>1</v>
      </c>
      <c r="K16" s="202">
        <v>0</v>
      </c>
      <c r="L16" s="202">
        <v>0</v>
      </c>
      <c r="M16" s="202">
        <v>0</v>
      </c>
      <c r="N16" s="206">
        <v>0</v>
      </c>
      <c r="O16" s="206">
        <v>0</v>
      </c>
    </row>
    <row r="17" spans="1:15" x14ac:dyDescent="0.3">
      <c r="A17" s="580"/>
      <c r="B17" s="576" t="s">
        <v>545</v>
      </c>
      <c r="C17" s="256" t="s">
        <v>475</v>
      </c>
      <c r="D17" s="203">
        <v>0</v>
      </c>
      <c r="E17" s="203">
        <v>0</v>
      </c>
      <c r="F17" s="203">
        <v>0</v>
      </c>
      <c r="G17" s="203">
        <v>0</v>
      </c>
      <c r="H17" s="202">
        <v>8</v>
      </c>
      <c r="I17" s="202">
        <v>8</v>
      </c>
      <c r="J17" s="202">
        <v>0</v>
      </c>
      <c r="K17" s="202">
        <v>0</v>
      </c>
      <c r="L17" s="202">
        <v>2</v>
      </c>
      <c r="M17" s="202">
        <v>2</v>
      </c>
      <c r="N17" s="206">
        <v>1</v>
      </c>
      <c r="O17" s="206">
        <v>1</v>
      </c>
    </row>
    <row r="18" spans="1:15" x14ac:dyDescent="0.3">
      <c r="A18" s="580"/>
      <c r="B18" s="576"/>
      <c r="C18" s="256" t="s">
        <v>476</v>
      </c>
      <c r="D18" s="203">
        <v>0</v>
      </c>
      <c r="E18" s="203">
        <v>0</v>
      </c>
      <c r="F18" s="203">
        <v>0</v>
      </c>
      <c r="G18" s="203">
        <v>0</v>
      </c>
      <c r="H18" s="202">
        <v>0</v>
      </c>
      <c r="I18" s="202">
        <v>0</v>
      </c>
      <c r="J18" s="202">
        <v>3</v>
      </c>
      <c r="K18" s="202">
        <v>0</v>
      </c>
      <c r="L18" s="202">
        <v>0</v>
      </c>
      <c r="M18" s="202">
        <v>0</v>
      </c>
      <c r="N18" s="206">
        <v>0</v>
      </c>
      <c r="O18" s="206">
        <v>0</v>
      </c>
    </row>
    <row r="19" spans="1:15" x14ac:dyDescent="0.3">
      <c r="A19" s="584" t="s">
        <v>516</v>
      </c>
      <c r="B19" s="576" t="s">
        <v>541</v>
      </c>
      <c r="C19" s="256" t="s">
        <v>476</v>
      </c>
      <c r="D19" s="203">
        <v>0</v>
      </c>
      <c r="E19" s="203">
        <v>0</v>
      </c>
      <c r="F19" s="203">
        <v>0</v>
      </c>
      <c r="G19" s="203">
        <v>0</v>
      </c>
      <c r="H19" s="203">
        <v>0</v>
      </c>
      <c r="I19" s="203">
        <v>0</v>
      </c>
      <c r="J19" s="203">
        <v>0</v>
      </c>
      <c r="K19" s="203">
        <v>0</v>
      </c>
      <c r="L19" s="203">
        <v>0</v>
      </c>
      <c r="M19" s="203">
        <v>0</v>
      </c>
      <c r="N19" s="206">
        <v>0</v>
      </c>
      <c r="O19" s="206">
        <v>0</v>
      </c>
    </row>
    <row r="20" spans="1:15" x14ac:dyDescent="0.3">
      <c r="A20" s="585"/>
      <c r="B20" s="576"/>
      <c r="C20" s="256" t="s">
        <v>476</v>
      </c>
      <c r="D20" s="203">
        <v>0</v>
      </c>
      <c r="E20" s="203">
        <v>0</v>
      </c>
      <c r="F20" s="203">
        <v>0</v>
      </c>
      <c r="G20" s="203">
        <v>0</v>
      </c>
      <c r="H20" s="203">
        <v>0</v>
      </c>
      <c r="I20" s="203">
        <v>0</v>
      </c>
      <c r="J20" s="203">
        <v>0</v>
      </c>
      <c r="K20" s="203">
        <v>0</v>
      </c>
      <c r="L20" s="203">
        <v>0</v>
      </c>
      <c r="M20" s="203">
        <v>0</v>
      </c>
      <c r="N20" s="206">
        <v>1</v>
      </c>
      <c r="O20" s="206">
        <v>0</v>
      </c>
    </row>
    <row r="21" spans="1:15" x14ac:dyDescent="0.3">
      <c r="A21" s="585"/>
      <c r="B21" s="576" t="s">
        <v>543</v>
      </c>
      <c r="C21" s="256" t="s">
        <v>475</v>
      </c>
      <c r="D21" s="203">
        <v>0</v>
      </c>
      <c r="E21" s="203">
        <v>0</v>
      </c>
      <c r="F21" s="203">
        <v>2</v>
      </c>
      <c r="G21" s="203">
        <v>1</v>
      </c>
      <c r="H21" s="202">
        <v>1</v>
      </c>
      <c r="I21" s="202">
        <v>1</v>
      </c>
      <c r="J21" s="202">
        <v>0</v>
      </c>
      <c r="K21" s="202">
        <v>0</v>
      </c>
      <c r="L21" s="202">
        <v>1</v>
      </c>
      <c r="M21" s="202">
        <v>1</v>
      </c>
      <c r="N21" s="206">
        <v>0</v>
      </c>
      <c r="O21" s="206">
        <v>0</v>
      </c>
    </row>
    <row r="22" spans="1:15" x14ac:dyDescent="0.3">
      <c r="A22" s="586"/>
      <c r="B22" s="576"/>
      <c r="C22" s="256" t="s">
        <v>476</v>
      </c>
      <c r="D22" s="203">
        <v>0</v>
      </c>
      <c r="E22" s="203">
        <v>0</v>
      </c>
      <c r="F22" s="203">
        <v>1</v>
      </c>
      <c r="G22" s="203">
        <v>0</v>
      </c>
      <c r="H22" s="202">
        <v>0</v>
      </c>
      <c r="I22" s="202">
        <v>0</v>
      </c>
      <c r="J22" s="202">
        <v>0</v>
      </c>
      <c r="K22" s="202">
        <v>0</v>
      </c>
      <c r="L22" s="202">
        <v>0</v>
      </c>
      <c r="M22" s="202">
        <v>0</v>
      </c>
      <c r="N22" s="206">
        <v>0</v>
      </c>
      <c r="O22" s="206">
        <v>0</v>
      </c>
    </row>
    <row r="23" spans="1:15" x14ac:dyDescent="0.3">
      <c r="A23" s="580" t="s">
        <v>515</v>
      </c>
      <c r="B23" s="576" t="s">
        <v>541</v>
      </c>
      <c r="C23" s="256" t="s">
        <v>542</v>
      </c>
      <c r="D23" s="203">
        <v>1</v>
      </c>
      <c r="E23" s="203">
        <v>1</v>
      </c>
      <c r="F23" s="203">
        <v>1</v>
      </c>
      <c r="G23" s="203">
        <v>1</v>
      </c>
      <c r="H23" s="202">
        <v>1</v>
      </c>
      <c r="I23" s="202">
        <v>1</v>
      </c>
      <c r="J23" s="202">
        <v>1</v>
      </c>
      <c r="K23" s="202">
        <v>1</v>
      </c>
      <c r="L23" s="202">
        <v>1</v>
      </c>
      <c r="M23" s="202">
        <v>1</v>
      </c>
      <c r="N23" s="206">
        <v>2</v>
      </c>
      <c r="O23" s="206">
        <v>2</v>
      </c>
    </row>
    <row r="24" spans="1:15" x14ac:dyDescent="0.3">
      <c r="A24" s="580"/>
      <c r="B24" s="576"/>
      <c r="C24" s="256" t="s">
        <v>476</v>
      </c>
      <c r="D24" s="203">
        <v>0</v>
      </c>
      <c r="E24" s="203">
        <v>0</v>
      </c>
      <c r="F24" s="203">
        <v>0</v>
      </c>
      <c r="G24" s="203">
        <v>0</v>
      </c>
      <c r="H24" s="202">
        <v>0</v>
      </c>
      <c r="I24" s="202">
        <v>0</v>
      </c>
      <c r="J24" s="202">
        <v>0</v>
      </c>
      <c r="K24" s="202">
        <v>0</v>
      </c>
      <c r="L24" s="202">
        <v>0</v>
      </c>
      <c r="M24" s="202">
        <v>0</v>
      </c>
      <c r="N24" s="206">
        <v>0</v>
      </c>
      <c r="O24" s="206">
        <v>0</v>
      </c>
    </row>
    <row r="25" spans="1:15" x14ac:dyDescent="0.3">
      <c r="A25" s="580"/>
      <c r="B25" s="576" t="s">
        <v>543</v>
      </c>
      <c r="C25" s="256" t="s">
        <v>542</v>
      </c>
      <c r="D25" s="203">
        <v>3</v>
      </c>
      <c r="E25" s="203">
        <v>2</v>
      </c>
      <c r="F25" s="203">
        <v>3</v>
      </c>
      <c r="G25" s="203">
        <v>2</v>
      </c>
      <c r="H25" s="202">
        <v>1</v>
      </c>
      <c r="I25" s="202">
        <v>1</v>
      </c>
      <c r="J25" s="202">
        <v>0</v>
      </c>
      <c r="K25" s="202">
        <v>0</v>
      </c>
      <c r="L25" s="202">
        <v>4</v>
      </c>
      <c r="M25" s="202">
        <v>2</v>
      </c>
      <c r="N25" s="206">
        <v>0</v>
      </c>
      <c r="O25" s="206">
        <v>0</v>
      </c>
    </row>
    <row r="26" spans="1:15" x14ac:dyDescent="0.3">
      <c r="A26" s="580"/>
      <c r="B26" s="576"/>
      <c r="C26" s="256" t="s">
        <v>476</v>
      </c>
      <c r="D26" s="203">
        <v>1</v>
      </c>
      <c r="E26" s="203">
        <v>0</v>
      </c>
      <c r="F26" s="203">
        <v>2</v>
      </c>
      <c r="G26" s="203">
        <v>0</v>
      </c>
      <c r="H26" s="202">
        <v>0</v>
      </c>
      <c r="I26" s="202">
        <v>0</v>
      </c>
      <c r="J26" s="202">
        <v>0</v>
      </c>
      <c r="K26" s="202">
        <v>0</v>
      </c>
      <c r="L26" s="202">
        <v>0</v>
      </c>
      <c r="M26" s="202">
        <v>0</v>
      </c>
      <c r="N26" s="206">
        <v>1</v>
      </c>
      <c r="O26" s="206">
        <v>0</v>
      </c>
    </row>
    <row r="27" spans="1:15" x14ac:dyDescent="0.3">
      <c r="A27" s="580"/>
      <c r="B27" s="576" t="s">
        <v>448</v>
      </c>
      <c r="C27" s="256" t="s">
        <v>542</v>
      </c>
      <c r="D27" s="203">
        <v>3</v>
      </c>
      <c r="E27" s="203">
        <v>2</v>
      </c>
      <c r="F27" s="203">
        <v>3</v>
      </c>
      <c r="G27" s="203">
        <v>2</v>
      </c>
      <c r="H27" s="202">
        <v>1</v>
      </c>
      <c r="I27" s="202">
        <v>1</v>
      </c>
      <c r="J27" s="202">
        <v>0</v>
      </c>
      <c r="K27" s="202">
        <v>0</v>
      </c>
      <c r="L27" s="202">
        <v>1</v>
      </c>
      <c r="M27" s="202">
        <v>1</v>
      </c>
      <c r="N27" s="206">
        <v>0</v>
      </c>
      <c r="O27" s="206">
        <v>0</v>
      </c>
    </row>
    <row r="28" spans="1:15" x14ac:dyDescent="0.3">
      <c r="A28" s="580"/>
      <c r="B28" s="576"/>
      <c r="C28" s="256" t="s">
        <v>476</v>
      </c>
      <c r="D28" s="203">
        <v>1</v>
      </c>
      <c r="E28" s="203">
        <v>0</v>
      </c>
      <c r="F28" s="203">
        <v>2</v>
      </c>
      <c r="G28" s="203">
        <v>0</v>
      </c>
      <c r="H28" s="202">
        <v>0</v>
      </c>
      <c r="I28" s="202">
        <v>0</v>
      </c>
      <c r="J28" s="202">
        <v>0</v>
      </c>
      <c r="K28" s="202">
        <v>0</v>
      </c>
      <c r="L28" s="202">
        <v>0</v>
      </c>
      <c r="M28" s="202">
        <v>0</v>
      </c>
      <c r="N28" s="206">
        <v>0</v>
      </c>
      <c r="O28" s="206">
        <v>0</v>
      </c>
    </row>
    <row r="29" spans="1:15" x14ac:dyDescent="0.3">
      <c r="A29" s="580" t="s">
        <v>514</v>
      </c>
      <c r="B29" s="576" t="s">
        <v>543</v>
      </c>
      <c r="C29" s="256" t="s">
        <v>542</v>
      </c>
      <c r="D29" s="203">
        <v>0</v>
      </c>
      <c r="E29" s="203">
        <v>0</v>
      </c>
      <c r="F29" s="203">
        <v>0</v>
      </c>
      <c r="G29" s="203">
        <v>0</v>
      </c>
      <c r="H29" s="202">
        <v>1</v>
      </c>
      <c r="I29" s="202">
        <v>0</v>
      </c>
      <c r="J29" s="202">
        <v>1</v>
      </c>
      <c r="K29" s="202">
        <v>1</v>
      </c>
      <c r="L29" s="202">
        <v>2</v>
      </c>
      <c r="M29" s="202">
        <v>2</v>
      </c>
      <c r="N29" s="206">
        <v>2</v>
      </c>
      <c r="O29" s="206">
        <v>1</v>
      </c>
    </row>
    <row r="30" spans="1:15" x14ac:dyDescent="0.3">
      <c r="A30" s="580"/>
      <c r="B30" s="576"/>
      <c r="C30" s="256" t="s">
        <v>476</v>
      </c>
      <c r="D30" s="203">
        <v>0</v>
      </c>
      <c r="E30" s="203">
        <v>0</v>
      </c>
      <c r="F30" s="203">
        <v>1</v>
      </c>
      <c r="G30" s="203">
        <v>0</v>
      </c>
      <c r="H30" s="202">
        <v>0</v>
      </c>
      <c r="I30" s="202">
        <v>0</v>
      </c>
      <c r="J30" s="202">
        <v>0</v>
      </c>
      <c r="K30" s="202">
        <v>0</v>
      </c>
      <c r="L30" s="202">
        <v>0</v>
      </c>
      <c r="M30" s="202">
        <v>0</v>
      </c>
      <c r="N30" s="206">
        <v>0</v>
      </c>
      <c r="O30" s="206">
        <v>0</v>
      </c>
    </row>
    <row r="31" spans="1:15" x14ac:dyDescent="0.3">
      <c r="A31" s="580"/>
      <c r="B31" s="576" t="s">
        <v>448</v>
      </c>
      <c r="C31" s="256" t="s">
        <v>542</v>
      </c>
      <c r="D31" s="203">
        <v>0</v>
      </c>
      <c r="E31" s="203">
        <v>0</v>
      </c>
      <c r="F31" s="203">
        <v>0</v>
      </c>
      <c r="G31" s="203">
        <v>0</v>
      </c>
      <c r="H31" s="202">
        <v>0</v>
      </c>
      <c r="I31" s="202">
        <v>0</v>
      </c>
      <c r="J31" s="202">
        <v>0</v>
      </c>
      <c r="K31" s="202">
        <v>0</v>
      </c>
      <c r="L31" s="202">
        <v>0</v>
      </c>
      <c r="M31" s="202">
        <v>0</v>
      </c>
      <c r="N31" s="206">
        <v>0</v>
      </c>
      <c r="O31" s="206">
        <v>0</v>
      </c>
    </row>
    <row r="32" spans="1:15" x14ac:dyDescent="0.3">
      <c r="A32" s="580"/>
      <c r="B32" s="576"/>
      <c r="C32" s="256" t="s">
        <v>476</v>
      </c>
      <c r="D32" s="203">
        <v>1</v>
      </c>
      <c r="E32" s="203">
        <v>0</v>
      </c>
      <c r="F32" s="203">
        <v>0</v>
      </c>
      <c r="G32" s="203">
        <v>0</v>
      </c>
      <c r="H32" s="202">
        <v>0</v>
      </c>
      <c r="I32" s="202">
        <v>0</v>
      </c>
      <c r="J32" s="202">
        <v>1</v>
      </c>
      <c r="K32" s="202">
        <v>0</v>
      </c>
      <c r="L32" s="202">
        <v>0</v>
      </c>
      <c r="M32" s="202">
        <v>0</v>
      </c>
      <c r="N32" s="206">
        <v>0</v>
      </c>
      <c r="O32" s="206">
        <v>0</v>
      </c>
    </row>
    <row r="33" spans="1:15" x14ac:dyDescent="0.3">
      <c r="A33" s="580" t="s">
        <v>513</v>
      </c>
      <c r="B33" s="576" t="s">
        <v>543</v>
      </c>
      <c r="C33" s="256" t="s">
        <v>542</v>
      </c>
      <c r="D33" s="203">
        <v>0</v>
      </c>
      <c r="E33" s="203">
        <v>0</v>
      </c>
      <c r="F33" s="203">
        <v>0</v>
      </c>
      <c r="G33" s="203">
        <v>0</v>
      </c>
      <c r="H33" s="202">
        <v>0</v>
      </c>
      <c r="I33" s="202">
        <v>0</v>
      </c>
      <c r="J33" s="202">
        <v>0</v>
      </c>
      <c r="K33" s="202">
        <v>0</v>
      </c>
      <c r="L33" s="202">
        <v>0</v>
      </c>
      <c r="M33" s="202">
        <v>0</v>
      </c>
      <c r="N33" s="206">
        <v>0</v>
      </c>
      <c r="O33" s="206">
        <v>0</v>
      </c>
    </row>
    <row r="34" spans="1:15" x14ac:dyDescent="0.3">
      <c r="A34" s="580"/>
      <c r="B34" s="576"/>
      <c r="C34" s="256" t="s">
        <v>476</v>
      </c>
      <c r="D34" s="203">
        <v>1</v>
      </c>
      <c r="E34" s="203">
        <v>0</v>
      </c>
      <c r="F34" s="203">
        <v>0</v>
      </c>
      <c r="G34" s="203">
        <v>0</v>
      </c>
      <c r="H34" s="202">
        <v>0</v>
      </c>
      <c r="I34" s="202">
        <v>0</v>
      </c>
      <c r="J34" s="202">
        <v>0</v>
      </c>
      <c r="K34" s="202">
        <v>0</v>
      </c>
      <c r="L34" s="202">
        <v>0</v>
      </c>
      <c r="M34" s="202">
        <v>0</v>
      </c>
      <c r="N34" s="206">
        <v>0</v>
      </c>
      <c r="O34" s="206">
        <v>0</v>
      </c>
    </row>
    <row r="37" spans="1:15" ht="15" customHeight="1" x14ac:dyDescent="0.3"/>
  </sheetData>
  <mergeCells count="30">
    <mergeCell ref="B17:B18"/>
    <mergeCell ref="B21:B22"/>
    <mergeCell ref="J3:K3"/>
    <mergeCell ref="B13:B14"/>
    <mergeCell ref="A13:A14"/>
    <mergeCell ref="A3:C3"/>
    <mergeCell ref="A11:A12"/>
    <mergeCell ref="B11:B12"/>
    <mergeCell ref="H3:I3"/>
    <mergeCell ref="A5:A10"/>
    <mergeCell ref="B5:B6"/>
    <mergeCell ref="B7:B8"/>
    <mergeCell ref="A19:A22"/>
    <mergeCell ref="B19:B20"/>
    <mergeCell ref="N3:O3"/>
    <mergeCell ref="B9:B10"/>
    <mergeCell ref="D3:E3"/>
    <mergeCell ref="F3:G3"/>
    <mergeCell ref="A33:A34"/>
    <mergeCell ref="B33:B34"/>
    <mergeCell ref="A23:A28"/>
    <mergeCell ref="B23:B24"/>
    <mergeCell ref="B27:B28"/>
    <mergeCell ref="A29:A32"/>
    <mergeCell ref="B29:B30"/>
    <mergeCell ref="B31:B32"/>
    <mergeCell ref="B25:B26"/>
    <mergeCell ref="L3:M3"/>
    <mergeCell ref="A15:A18"/>
    <mergeCell ref="B15:B16"/>
  </mergeCells>
  <hyperlinks>
    <hyperlink ref="A1" location="Inhoud!A1" display="Terug naar inhoud" xr:uid="{DB1B0EB4-70A6-4280-87F5-CF018E975156}"/>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EC557-93C9-4A91-96C4-E199F57907AF}">
  <sheetPr codeName="Blad36"/>
  <dimension ref="A1:T12"/>
  <sheetViews>
    <sheetView workbookViewId="0">
      <selection activeCell="A2" sqref="A2"/>
    </sheetView>
  </sheetViews>
  <sheetFormatPr defaultColWidth="9.109375" defaultRowHeight="14.4" x14ac:dyDescent="0.3"/>
  <cols>
    <col min="1" max="1" width="26.6640625" style="7" customWidth="1"/>
    <col min="2" max="3" width="10.6640625" style="7" customWidth="1"/>
    <col min="4" max="5" width="9.109375" style="7"/>
    <col min="6" max="9" width="10.6640625" style="7" customWidth="1"/>
    <col min="10" max="11" width="9.109375" style="7"/>
    <col min="12" max="12" width="10.6640625" style="7" customWidth="1"/>
    <col min="13" max="14" width="9.109375" style="7"/>
    <col min="15" max="15" width="10.33203125" style="7" customWidth="1"/>
    <col min="16" max="16384" width="9.109375" style="7"/>
  </cols>
  <sheetData>
    <row r="1" spans="1:20" x14ac:dyDescent="0.3">
      <c r="A1" s="375" t="s">
        <v>95</v>
      </c>
    </row>
    <row r="2" spans="1:20" ht="18" customHeight="1" x14ac:dyDescent="0.3">
      <c r="A2" s="8" t="s">
        <v>546</v>
      </c>
    </row>
    <row r="3" spans="1:20" ht="15" customHeight="1" x14ac:dyDescent="0.3">
      <c r="A3" s="587"/>
      <c r="B3" s="587"/>
      <c r="C3" s="513"/>
      <c r="D3" s="589" t="s">
        <v>547</v>
      </c>
      <c r="E3" s="589"/>
      <c r="F3" s="589"/>
      <c r="G3" s="589"/>
      <c r="H3" s="589"/>
      <c r="I3" s="589"/>
      <c r="J3" s="589"/>
      <c r="K3" s="589"/>
      <c r="L3" s="589"/>
      <c r="M3" s="589"/>
      <c r="N3" s="589"/>
      <c r="O3" s="589"/>
      <c r="P3" s="258"/>
      <c r="Q3" s="258"/>
      <c r="R3" s="258"/>
      <c r="S3" s="258"/>
      <c r="T3" s="258"/>
    </row>
    <row r="4" spans="1:20" x14ac:dyDescent="0.3">
      <c r="A4" s="587"/>
      <c r="B4" s="587"/>
      <c r="C4" s="587"/>
      <c r="D4" s="493" t="s">
        <v>100</v>
      </c>
      <c r="E4" s="493"/>
      <c r="F4" s="493"/>
      <c r="G4" s="493" t="s">
        <v>101</v>
      </c>
      <c r="H4" s="493"/>
      <c r="I4" s="493"/>
      <c r="J4" s="493" t="s">
        <v>102</v>
      </c>
      <c r="K4" s="493"/>
      <c r="L4" s="591"/>
      <c r="M4" s="588" t="s">
        <v>447</v>
      </c>
      <c r="N4" s="588"/>
      <c r="O4" s="588"/>
      <c r="P4"/>
      <c r="Q4"/>
      <c r="R4"/>
      <c r="S4"/>
      <c r="T4"/>
    </row>
    <row r="5" spans="1:20" x14ac:dyDescent="0.3">
      <c r="A5" s="587"/>
      <c r="B5" s="587"/>
      <c r="C5" s="587"/>
      <c r="D5" s="234" t="s">
        <v>430</v>
      </c>
      <c r="E5" s="234" t="s">
        <v>475</v>
      </c>
      <c r="F5" s="234" t="s">
        <v>476</v>
      </c>
      <c r="G5" s="234" t="s">
        <v>430</v>
      </c>
      <c r="H5" s="234" t="s">
        <v>475</v>
      </c>
      <c r="I5" s="234" t="s">
        <v>476</v>
      </c>
      <c r="J5" s="234" t="s">
        <v>430</v>
      </c>
      <c r="K5" s="234" t="s">
        <v>475</v>
      </c>
      <c r="L5" s="234" t="s">
        <v>476</v>
      </c>
      <c r="M5" s="398" t="s">
        <v>430</v>
      </c>
      <c r="N5" s="398" t="s">
        <v>475</v>
      </c>
      <c r="O5" s="398" t="s">
        <v>476</v>
      </c>
    </row>
    <row r="6" spans="1:20" ht="15" customHeight="1" x14ac:dyDescent="0.3">
      <c r="A6" s="492" t="s">
        <v>548</v>
      </c>
      <c r="B6" s="234"/>
      <c r="C6" s="234" t="s">
        <v>549</v>
      </c>
      <c r="D6" s="224"/>
      <c r="E6" s="224"/>
      <c r="F6" s="224"/>
      <c r="G6" s="16">
        <v>30</v>
      </c>
      <c r="H6" s="16">
        <v>19</v>
      </c>
      <c r="I6" s="16">
        <v>11</v>
      </c>
      <c r="J6" s="16">
        <v>13</v>
      </c>
      <c r="K6" s="16">
        <v>8</v>
      </c>
      <c r="L6" s="397">
        <v>5</v>
      </c>
      <c r="M6" s="459">
        <v>6</v>
      </c>
      <c r="N6" s="460">
        <v>6</v>
      </c>
      <c r="O6" s="460">
        <v>0</v>
      </c>
    </row>
    <row r="7" spans="1:20" x14ac:dyDescent="0.3">
      <c r="A7" s="590"/>
      <c r="B7" s="234" t="s">
        <v>550</v>
      </c>
      <c r="C7" s="234" t="s">
        <v>551</v>
      </c>
      <c r="D7" s="224"/>
      <c r="E7" s="224"/>
      <c r="F7" s="224"/>
      <c r="G7" s="16">
        <v>121</v>
      </c>
      <c r="H7" s="16">
        <v>98</v>
      </c>
      <c r="I7" s="16">
        <v>23</v>
      </c>
      <c r="J7" s="16">
        <v>36</v>
      </c>
      <c r="K7" s="16">
        <v>18</v>
      </c>
      <c r="L7" s="397">
        <v>18</v>
      </c>
      <c r="M7" s="459">
        <v>36</v>
      </c>
      <c r="N7" s="460">
        <v>36</v>
      </c>
      <c r="O7" s="460">
        <v>0</v>
      </c>
    </row>
    <row r="8" spans="1:20" x14ac:dyDescent="0.3">
      <c r="A8" s="590"/>
      <c r="B8" s="223"/>
      <c r="C8" s="234" t="s">
        <v>552</v>
      </c>
      <c r="D8" s="224"/>
      <c r="E8" s="224"/>
      <c r="F8" s="224"/>
      <c r="G8" s="16">
        <v>119</v>
      </c>
      <c r="H8" s="16">
        <v>96</v>
      </c>
      <c r="I8" s="16">
        <v>23</v>
      </c>
      <c r="J8" s="16">
        <v>36</v>
      </c>
      <c r="K8" s="16">
        <v>18</v>
      </c>
      <c r="L8" s="397">
        <v>18</v>
      </c>
      <c r="M8" s="459">
        <v>27</v>
      </c>
      <c r="N8" s="460">
        <v>27</v>
      </c>
      <c r="O8" s="460">
        <v>0</v>
      </c>
    </row>
    <row r="9" spans="1:20" x14ac:dyDescent="0.3">
      <c r="A9" s="493"/>
      <c r="B9" s="401" t="s">
        <v>553</v>
      </c>
      <c r="C9" s="234"/>
      <c r="D9" s="224"/>
      <c r="E9" s="224"/>
      <c r="F9" s="224"/>
      <c r="G9" s="399"/>
      <c r="H9" s="399"/>
      <c r="I9" s="399"/>
      <c r="J9" s="399"/>
      <c r="K9" s="399"/>
      <c r="L9" s="400"/>
      <c r="M9" s="459">
        <v>40</v>
      </c>
      <c r="N9" s="460">
        <v>38</v>
      </c>
      <c r="O9" s="460">
        <v>2</v>
      </c>
    </row>
    <row r="10" spans="1:20" x14ac:dyDescent="0.3">
      <c r="A10" s="491" t="s">
        <v>554</v>
      </c>
      <c r="B10" s="491" t="s">
        <v>550</v>
      </c>
      <c r="C10" s="491"/>
      <c r="D10" s="16">
        <v>67</v>
      </c>
      <c r="E10" s="16">
        <v>67</v>
      </c>
      <c r="F10" s="16">
        <v>0</v>
      </c>
      <c r="G10" s="16">
        <v>57</v>
      </c>
      <c r="H10" s="16">
        <v>53</v>
      </c>
      <c r="I10" s="16">
        <v>4</v>
      </c>
      <c r="J10" s="16">
        <v>79</v>
      </c>
      <c r="K10" s="16">
        <v>75</v>
      </c>
      <c r="L10" s="397">
        <v>4</v>
      </c>
      <c r="M10" s="459">
        <v>70</v>
      </c>
      <c r="N10" s="460">
        <v>70</v>
      </c>
      <c r="O10" s="460">
        <v>0</v>
      </c>
    </row>
    <row r="11" spans="1:20" x14ac:dyDescent="0.3">
      <c r="A11" s="491"/>
      <c r="B11" s="491" t="s">
        <v>553</v>
      </c>
      <c r="C11" s="491"/>
      <c r="D11" s="16">
        <v>2</v>
      </c>
      <c r="E11" s="16">
        <v>2</v>
      </c>
      <c r="F11" s="16">
        <v>0</v>
      </c>
      <c r="G11" s="16">
        <v>3</v>
      </c>
      <c r="H11" s="16">
        <v>3</v>
      </c>
      <c r="I11" s="16">
        <v>0</v>
      </c>
      <c r="J11" s="16">
        <v>1</v>
      </c>
      <c r="K11" s="16">
        <v>1</v>
      </c>
      <c r="L11" s="397">
        <v>0</v>
      </c>
      <c r="M11" s="459">
        <v>0</v>
      </c>
      <c r="N11" s="460">
        <v>0</v>
      </c>
      <c r="O11" s="460">
        <v>0</v>
      </c>
    </row>
    <row r="12" spans="1:20" x14ac:dyDescent="0.3">
      <c r="A12" s="225" t="s">
        <v>555</v>
      </c>
      <c r="M12" s="222"/>
    </row>
  </sheetData>
  <mergeCells count="10">
    <mergeCell ref="M4:O4"/>
    <mergeCell ref="D3:O3"/>
    <mergeCell ref="A6:A9"/>
    <mergeCell ref="D4:F4"/>
    <mergeCell ref="J4:L4"/>
    <mergeCell ref="A10:A11"/>
    <mergeCell ref="B10:C10"/>
    <mergeCell ref="B11:C11"/>
    <mergeCell ref="A3:C5"/>
    <mergeCell ref="G4:I4"/>
  </mergeCells>
  <hyperlinks>
    <hyperlink ref="A1" location="Inhoud!A1" display="Terug naar inhoud" xr:uid="{B8DE29A9-C560-4FC2-A7F9-ACB2DDF7CE18}"/>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0B1DB-7399-40A2-9CA9-13A795134B43}">
  <sheetPr codeName="Blad37"/>
  <dimension ref="A1:F14"/>
  <sheetViews>
    <sheetView workbookViewId="0">
      <selection activeCell="A2" sqref="A2"/>
    </sheetView>
  </sheetViews>
  <sheetFormatPr defaultColWidth="9.109375" defaultRowHeight="14.4" x14ac:dyDescent="0.3"/>
  <cols>
    <col min="1" max="1" width="54.44140625" style="7" customWidth="1"/>
    <col min="2" max="2" width="9.6640625" style="7" bestFit="1" customWidth="1"/>
    <col min="3" max="3" width="11.109375" style="7" customWidth="1"/>
    <col min="4" max="4" width="11.33203125" style="7" customWidth="1"/>
    <col min="5" max="5" width="10.109375" style="7" customWidth="1"/>
    <col min="6" max="6" width="10.5546875" style="7" customWidth="1"/>
    <col min="7" max="16384" width="9.109375" style="7"/>
  </cols>
  <sheetData>
    <row r="1" spans="1:6" x14ac:dyDescent="0.3">
      <c r="A1" s="375" t="s">
        <v>95</v>
      </c>
    </row>
    <row r="2" spans="1:6" s="34" customFormat="1" x14ac:dyDescent="0.3">
      <c r="A2" s="60" t="s">
        <v>556</v>
      </c>
    </row>
    <row r="3" spans="1:6" x14ac:dyDescent="0.3">
      <c r="A3" s="83"/>
      <c r="B3" s="47" t="s">
        <v>99</v>
      </c>
      <c r="C3" s="127" t="s">
        <v>100</v>
      </c>
      <c r="D3" s="127" t="s">
        <v>101</v>
      </c>
      <c r="E3" s="127" t="s">
        <v>102</v>
      </c>
      <c r="F3" s="127" t="s">
        <v>447</v>
      </c>
    </row>
    <row r="4" spans="1:6" x14ac:dyDescent="0.3">
      <c r="A4" s="81" t="s">
        <v>557</v>
      </c>
      <c r="B4" s="48">
        <v>0</v>
      </c>
      <c r="C4" s="16">
        <v>0</v>
      </c>
      <c r="D4" s="16">
        <v>1</v>
      </c>
      <c r="E4" s="16">
        <v>0</v>
      </c>
      <c r="F4" s="16">
        <v>0</v>
      </c>
    </row>
    <row r="5" spans="1:6" x14ac:dyDescent="0.3">
      <c r="A5" s="81" t="s">
        <v>558</v>
      </c>
      <c r="B5" s="48">
        <v>4</v>
      </c>
      <c r="C5" s="16">
        <v>1</v>
      </c>
      <c r="D5" s="16">
        <v>3</v>
      </c>
      <c r="E5" s="16">
        <v>2</v>
      </c>
      <c r="F5" s="16">
        <v>0</v>
      </c>
    </row>
    <row r="6" spans="1:6" x14ac:dyDescent="0.3">
      <c r="A6" s="81" t="s">
        <v>559</v>
      </c>
      <c r="B6" s="48">
        <v>0</v>
      </c>
      <c r="C6" s="16">
        <v>0</v>
      </c>
      <c r="D6" s="16">
        <v>1</v>
      </c>
      <c r="E6" s="16">
        <v>2</v>
      </c>
      <c r="F6" s="16">
        <v>0</v>
      </c>
    </row>
    <row r="7" spans="1:6" x14ac:dyDescent="0.3">
      <c r="A7" s="81" t="s">
        <v>560</v>
      </c>
      <c r="B7" s="48">
        <v>0</v>
      </c>
      <c r="C7" s="16">
        <v>0</v>
      </c>
      <c r="D7" s="16">
        <v>1</v>
      </c>
      <c r="E7" s="16">
        <v>3</v>
      </c>
      <c r="F7" s="16">
        <v>0</v>
      </c>
    </row>
    <row r="8" spans="1:6" x14ac:dyDescent="0.3">
      <c r="A8" s="81" t="s">
        <v>561</v>
      </c>
      <c r="B8" s="48">
        <v>154</v>
      </c>
      <c r="C8" s="16">
        <v>179</v>
      </c>
      <c r="D8" s="16">
        <v>108</v>
      </c>
      <c r="E8" s="16">
        <v>123</v>
      </c>
      <c r="F8" s="16">
        <v>98</v>
      </c>
    </row>
    <row r="9" spans="1:6" x14ac:dyDescent="0.3">
      <c r="A9" s="81" t="s">
        <v>562</v>
      </c>
      <c r="B9" s="48">
        <v>0</v>
      </c>
      <c r="C9" s="16">
        <v>131</v>
      </c>
      <c r="D9" s="16">
        <v>95</v>
      </c>
      <c r="E9" s="16">
        <v>115</v>
      </c>
      <c r="F9" s="16">
        <v>92</v>
      </c>
    </row>
    <row r="10" spans="1:6" x14ac:dyDescent="0.3">
      <c r="A10" s="81" t="s">
        <v>563</v>
      </c>
      <c r="B10" s="48">
        <v>9</v>
      </c>
      <c r="C10" s="16">
        <v>0</v>
      </c>
      <c r="D10" s="16">
        <v>2</v>
      </c>
      <c r="E10" s="16">
        <v>0</v>
      </c>
      <c r="F10" s="16">
        <v>0</v>
      </c>
    </row>
    <row r="11" spans="1:6" x14ac:dyDescent="0.3">
      <c r="A11" s="81" t="s">
        <v>564</v>
      </c>
      <c r="B11" s="48">
        <v>0</v>
      </c>
      <c r="C11" s="16">
        <v>0</v>
      </c>
      <c r="D11" s="16">
        <v>1</v>
      </c>
      <c r="E11" s="16">
        <v>0</v>
      </c>
      <c r="F11" s="16">
        <v>0</v>
      </c>
    </row>
    <row r="12" spans="1:6" x14ac:dyDescent="0.3">
      <c r="A12" s="81" t="s">
        <v>565</v>
      </c>
      <c r="B12" s="48">
        <v>839</v>
      </c>
      <c r="C12" s="16">
        <v>29</v>
      </c>
      <c r="D12" s="16">
        <v>24</v>
      </c>
      <c r="E12" s="16">
        <v>44</v>
      </c>
      <c r="F12" s="16">
        <v>31</v>
      </c>
    </row>
    <row r="13" spans="1:6" x14ac:dyDescent="0.3">
      <c r="A13" s="81" t="s">
        <v>566</v>
      </c>
      <c r="B13" s="48">
        <v>0</v>
      </c>
      <c r="C13" s="82">
        <v>6</v>
      </c>
      <c r="D13" s="82">
        <v>6</v>
      </c>
      <c r="E13" s="82">
        <v>0</v>
      </c>
      <c r="F13" s="82">
        <v>0</v>
      </c>
    </row>
    <row r="14" spans="1:6" x14ac:dyDescent="0.3">
      <c r="A14" s="81" t="s">
        <v>567</v>
      </c>
      <c r="B14" s="48">
        <v>328</v>
      </c>
      <c r="C14" s="16">
        <v>32</v>
      </c>
      <c r="D14" s="16">
        <v>19</v>
      </c>
      <c r="E14" s="16">
        <v>21</v>
      </c>
      <c r="F14" s="16">
        <v>19</v>
      </c>
    </row>
  </sheetData>
  <hyperlinks>
    <hyperlink ref="A1" location="Inhoud!A1" display="Terug naar inhoud" xr:uid="{D7F8D18D-5C19-4D04-8E68-8236A8C94FF5}"/>
  </hyperlinks>
  <pageMargins left="0.7" right="0.7" top="0.75" bottom="0.75" header="0.3" footer="0.3"/>
  <pageSetup paperSize="9" orientation="portrait" horizontalDpi="4294967293" verticalDpi="4294967293"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4E9D-3E17-4629-920B-AC1BF53AD307}">
  <sheetPr codeName="Blad38"/>
  <dimension ref="A1:K7"/>
  <sheetViews>
    <sheetView workbookViewId="0">
      <selection activeCell="A2" sqref="A2"/>
    </sheetView>
  </sheetViews>
  <sheetFormatPr defaultColWidth="9.109375" defaultRowHeight="14.4" x14ac:dyDescent="0.3"/>
  <cols>
    <col min="1" max="1" width="23.33203125" style="34" customWidth="1"/>
    <col min="2" max="2" width="7.6640625" style="34" bestFit="1" customWidth="1"/>
    <col min="3" max="3" width="9.88671875" style="34" bestFit="1" customWidth="1"/>
    <col min="4" max="4" width="7.6640625" style="34" bestFit="1" customWidth="1"/>
    <col min="5" max="5" width="11" style="34" customWidth="1"/>
    <col min="6" max="6" width="7.6640625" style="34" bestFit="1" customWidth="1"/>
    <col min="7" max="7" width="11.109375" style="34" customWidth="1"/>
    <col min="8" max="8" width="9.109375" style="34"/>
    <col min="9" max="10" width="11.109375" style="34" customWidth="1"/>
    <col min="11" max="16384" width="9.109375" style="34"/>
  </cols>
  <sheetData>
    <row r="1" spans="1:11" x14ac:dyDescent="0.3">
      <c r="A1" s="375" t="s">
        <v>95</v>
      </c>
    </row>
    <row r="2" spans="1:11" x14ac:dyDescent="0.3">
      <c r="A2" s="60" t="s">
        <v>568</v>
      </c>
    </row>
    <row r="3" spans="1:11" x14ac:dyDescent="0.3">
      <c r="A3" s="236"/>
      <c r="B3" s="482" t="s">
        <v>99</v>
      </c>
      <c r="C3" s="482"/>
      <c r="D3" s="490" t="s">
        <v>100</v>
      </c>
      <c r="E3" s="490"/>
      <c r="F3" s="490" t="s">
        <v>101</v>
      </c>
      <c r="G3" s="490"/>
      <c r="H3" s="490" t="s">
        <v>102</v>
      </c>
      <c r="I3" s="490"/>
      <c r="J3" s="490" t="s">
        <v>447</v>
      </c>
      <c r="K3" s="490"/>
    </row>
    <row r="4" spans="1:11" ht="72" x14ac:dyDescent="0.3">
      <c r="A4" s="84"/>
      <c r="B4" s="242" t="s">
        <v>475</v>
      </c>
      <c r="C4" s="64" t="s">
        <v>569</v>
      </c>
      <c r="D4" s="64" t="s">
        <v>475</v>
      </c>
      <c r="E4" s="64" t="s">
        <v>569</v>
      </c>
      <c r="F4" s="64" t="s">
        <v>475</v>
      </c>
      <c r="G4" s="64" t="s">
        <v>569</v>
      </c>
      <c r="H4" s="64" t="s">
        <v>475</v>
      </c>
      <c r="I4" s="64" t="s">
        <v>569</v>
      </c>
      <c r="J4" s="64" t="s">
        <v>475</v>
      </c>
      <c r="K4" s="64" t="s">
        <v>569</v>
      </c>
    </row>
    <row r="5" spans="1:11" x14ac:dyDescent="0.3">
      <c r="A5" s="84" t="s">
        <v>570</v>
      </c>
      <c r="B5" s="242" t="s">
        <v>424</v>
      </c>
      <c r="C5" s="64" t="s">
        <v>571</v>
      </c>
      <c r="D5" s="64">
        <v>0</v>
      </c>
      <c r="E5" s="64" t="s">
        <v>572</v>
      </c>
      <c r="F5" s="64">
        <v>2</v>
      </c>
      <c r="G5" s="64">
        <v>5</v>
      </c>
      <c r="H5" s="64">
        <v>0</v>
      </c>
      <c r="I5" s="64">
        <v>3</v>
      </c>
      <c r="J5" s="64">
        <v>0</v>
      </c>
      <c r="K5" s="64">
        <v>4</v>
      </c>
    </row>
    <row r="6" spans="1:11" x14ac:dyDescent="0.3">
      <c r="A6" s="84" t="s">
        <v>573</v>
      </c>
      <c r="B6" s="242">
        <v>839</v>
      </c>
      <c r="C6" s="64">
        <v>0</v>
      </c>
      <c r="D6" s="64">
        <v>29</v>
      </c>
      <c r="E6" s="64">
        <v>63</v>
      </c>
      <c r="F6" s="64">
        <v>24</v>
      </c>
      <c r="G6" s="64">
        <v>46</v>
      </c>
      <c r="H6" s="64">
        <v>44</v>
      </c>
      <c r="I6" s="64">
        <v>52</v>
      </c>
      <c r="J6" s="64">
        <v>31</v>
      </c>
      <c r="K6" s="64">
        <v>53</v>
      </c>
    </row>
    <row r="7" spans="1:11" ht="15" customHeight="1" x14ac:dyDescent="0.3">
      <c r="A7" s="84" t="s">
        <v>567</v>
      </c>
      <c r="B7" s="242">
        <v>328</v>
      </c>
      <c r="C7" s="64">
        <v>50</v>
      </c>
      <c r="D7" s="64">
        <v>32</v>
      </c>
      <c r="E7" s="64">
        <v>13</v>
      </c>
      <c r="F7" s="64">
        <v>19</v>
      </c>
      <c r="G7" s="64">
        <v>27</v>
      </c>
      <c r="H7" s="64">
        <v>21</v>
      </c>
      <c r="I7" s="64">
        <v>60</v>
      </c>
      <c r="J7" s="64">
        <v>19</v>
      </c>
      <c r="K7" s="64">
        <v>27</v>
      </c>
    </row>
  </sheetData>
  <mergeCells count="5">
    <mergeCell ref="B3:C3"/>
    <mergeCell ref="D3:E3"/>
    <mergeCell ref="F3:G3"/>
    <mergeCell ref="H3:I3"/>
    <mergeCell ref="J3:K3"/>
  </mergeCells>
  <hyperlinks>
    <hyperlink ref="A1" location="Inhoud!A1" display="Terug naar inhoud" xr:uid="{21460A74-5BE4-46D9-A701-C28C6E91DD64}"/>
  </hyperlinks>
  <pageMargins left="0.7" right="0.7" top="0.75" bottom="0.75" header="0.3" footer="0.3"/>
  <pageSetup paperSize="9"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15B50-7870-4BEF-A3CB-DF6D40BB1B56}">
  <sheetPr codeName="Blad39"/>
  <dimension ref="A1:F6"/>
  <sheetViews>
    <sheetView workbookViewId="0">
      <selection activeCell="A2" sqref="A2"/>
    </sheetView>
  </sheetViews>
  <sheetFormatPr defaultColWidth="9.109375" defaultRowHeight="14.4" x14ac:dyDescent="0.3"/>
  <cols>
    <col min="1" max="1" width="30" style="34" customWidth="1"/>
    <col min="2" max="4" width="10.6640625" style="34" customWidth="1"/>
    <col min="5" max="5" width="10.33203125" style="34" customWidth="1"/>
    <col min="6" max="6" width="10.6640625" style="34" customWidth="1"/>
    <col min="7" max="16384" width="9.109375" style="34"/>
  </cols>
  <sheetData>
    <row r="1" spans="1:6" x14ac:dyDescent="0.3">
      <c r="A1" s="375" t="s">
        <v>95</v>
      </c>
    </row>
    <row r="2" spans="1:6" x14ac:dyDescent="0.3">
      <c r="A2" s="60" t="s">
        <v>574</v>
      </c>
    </row>
    <row r="3" spans="1:6" x14ac:dyDescent="0.3">
      <c r="A3" s="103" t="s">
        <v>575</v>
      </c>
      <c r="B3" s="127" t="s">
        <v>99</v>
      </c>
      <c r="C3" s="127" t="s">
        <v>100</v>
      </c>
      <c r="D3" s="127" t="s">
        <v>101</v>
      </c>
      <c r="E3" s="127" t="s">
        <v>102</v>
      </c>
      <c r="F3" s="127" t="s">
        <v>447</v>
      </c>
    </row>
    <row r="4" spans="1:6" x14ac:dyDescent="0.3">
      <c r="A4" s="53" t="s">
        <v>576</v>
      </c>
      <c r="B4" s="16">
        <v>0</v>
      </c>
      <c r="C4" s="16">
        <v>5</v>
      </c>
      <c r="D4" s="16">
        <v>0</v>
      </c>
      <c r="E4" s="16">
        <v>0</v>
      </c>
      <c r="F4" s="16">
        <v>0</v>
      </c>
    </row>
    <row r="5" spans="1:6" x14ac:dyDescent="0.3">
      <c r="A5" s="53" t="s">
        <v>577</v>
      </c>
      <c r="B5" s="16">
        <v>0</v>
      </c>
      <c r="C5" s="16">
        <v>3</v>
      </c>
      <c r="D5" s="16">
        <v>0</v>
      </c>
      <c r="E5" s="16">
        <v>0</v>
      </c>
      <c r="F5" s="16">
        <v>0</v>
      </c>
    </row>
    <row r="6" spans="1:6" x14ac:dyDescent="0.3">
      <c r="A6" s="53" t="s">
        <v>578</v>
      </c>
      <c r="B6" s="16">
        <v>0</v>
      </c>
      <c r="C6" s="16">
        <v>0</v>
      </c>
      <c r="D6" s="16">
        <v>1</v>
      </c>
      <c r="E6" s="16">
        <v>0</v>
      </c>
      <c r="F6" s="16">
        <v>0</v>
      </c>
    </row>
  </sheetData>
  <hyperlinks>
    <hyperlink ref="A1" location="Inhoud!A1" display="Terug naar inhoud" xr:uid="{6919C969-0BE3-468C-96AE-79741835A8C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7A69-64FC-4F38-881A-186CEAA0F2D8}">
  <sheetPr codeName="Blad4"/>
  <dimension ref="A1:H39"/>
  <sheetViews>
    <sheetView workbookViewId="0">
      <selection activeCell="A2" sqref="A2"/>
    </sheetView>
  </sheetViews>
  <sheetFormatPr defaultColWidth="9.109375" defaultRowHeight="14.4" x14ac:dyDescent="0.3"/>
  <cols>
    <col min="1" max="1" width="20.5546875" style="7" customWidth="1"/>
    <col min="2" max="2" width="37.33203125" style="7" customWidth="1"/>
    <col min="3" max="3" width="9.6640625" style="7" bestFit="1" customWidth="1"/>
    <col min="4" max="6" width="10.6640625" style="23" customWidth="1"/>
    <col min="7" max="7" width="10.6640625" style="24" customWidth="1"/>
    <col min="8" max="8" width="10.44140625" style="7" customWidth="1"/>
    <col min="9" max="16384" width="9.109375" style="7"/>
  </cols>
  <sheetData>
    <row r="1" spans="1:8" x14ac:dyDescent="0.3">
      <c r="A1" s="375" t="s">
        <v>95</v>
      </c>
    </row>
    <row r="2" spans="1:8" x14ac:dyDescent="0.3">
      <c r="A2" s="17" t="s">
        <v>117</v>
      </c>
    </row>
    <row r="3" spans="1:8" ht="15" customHeight="1" x14ac:dyDescent="0.3">
      <c r="A3" s="9" t="s">
        <v>118</v>
      </c>
      <c r="B3" s="135"/>
      <c r="C3" s="231" t="s">
        <v>97</v>
      </c>
      <c r="D3" s="231" t="s">
        <v>98</v>
      </c>
      <c r="E3" s="234" t="s">
        <v>99</v>
      </c>
      <c r="F3" s="234" t="s">
        <v>100</v>
      </c>
      <c r="G3" s="234" t="s">
        <v>101</v>
      </c>
      <c r="H3" s="239" t="s">
        <v>102</v>
      </c>
    </row>
    <row r="4" spans="1:8" x14ac:dyDescent="0.3">
      <c r="A4" s="473" t="s">
        <v>119</v>
      </c>
      <c r="B4" s="136" t="s">
        <v>120</v>
      </c>
      <c r="C4" s="142">
        <v>162</v>
      </c>
      <c r="D4" s="19">
        <v>162</v>
      </c>
      <c r="E4" s="20">
        <v>162</v>
      </c>
      <c r="F4" s="16">
        <v>160</v>
      </c>
      <c r="G4" s="16">
        <v>160</v>
      </c>
      <c r="H4" s="16">
        <v>157</v>
      </c>
    </row>
    <row r="5" spans="1:8" x14ac:dyDescent="0.3">
      <c r="A5" s="474"/>
      <c r="B5" s="136" t="s">
        <v>121</v>
      </c>
      <c r="C5" s="142">
        <v>166</v>
      </c>
      <c r="D5" s="19">
        <v>163</v>
      </c>
      <c r="E5" s="20">
        <v>161</v>
      </c>
      <c r="F5" s="16">
        <v>157</v>
      </c>
      <c r="G5" s="16">
        <v>153</v>
      </c>
      <c r="H5" s="16">
        <v>151</v>
      </c>
    </row>
    <row r="6" spans="1:8" x14ac:dyDescent="0.3">
      <c r="A6" s="474"/>
      <c r="B6" s="136" t="s">
        <v>122</v>
      </c>
      <c r="C6" s="142">
        <v>2090</v>
      </c>
      <c r="D6" s="19" t="s">
        <v>123</v>
      </c>
      <c r="E6" s="12">
        <v>2122</v>
      </c>
      <c r="F6" s="14">
        <v>2145</v>
      </c>
      <c r="G6" s="14">
        <v>2180</v>
      </c>
      <c r="H6" s="14">
        <v>2195</v>
      </c>
    </row>
    <row r="7" spans="1:8" x14ac:dyDescent="0.3">
      <c r="A7" s="474"/>
      <c r="B7" s="135" t="s">
        <v>113</v>
      </c>
      <c r="C7" s="143">
        <v>2418</v>
      </c>
      <c r="D7" s="18">
        <v>2428</v>
      </c>
      <c r="E7" s="21">
        <v>2445</v>
      </c>
      <c r="F7" s="25">
        <v>2462</v>
      </c>
      <c r="G7" s="25">
        <v>2493</v>
      </c>
      <c r="H7" s="25">
        <v>2503</v>
      </c>
    </row>
    <row r="8" spans="1:8" x14ac:dyDescent="0.3">
      <c r="A8" s="479" t="s">
        <v>124</v>
      </c>
      <c r="B8" s="137" t="s">
        <v>120</v>
      </c>
      <c r="C8" s="142">
        <v>0</v>
      </c>
      <c r="D8" s="19">
        <v>0</v>
      </c>
      <c r="E8" s="20">
        <v>0</v>
      </c>
      <c r="F8" s="16">
        <v>0</v>
      </c>
      <c r="G8" s="16">
        <v>1</v>
      </c>
      <c r="H8" s="16">
        <v>1</v>
      </c>
    </row>
    <row r="9" spans="1:8" x14ac:dyDescent="0.3">
      <c r="A9" s="480"/>
      <c r="B9" s="137" t="s">
        <v>121</v>
      </c>
      <c r="C9" s="142">
        <v>79</v>
      </c>
      <c r="D9" s="19">
        <v>73</v>
      </c>
      <c r="E9" s="20">
        <v>69</v>
      </c>
      <c r="F9" s="16">
        <v>67</v>
      </c>
      <c r="G9" s="16">
        <v>66</v>
      </c>
      <c r="H9" s="16">
        <v>63</v>
      </c>
    </row>
    <row r="10" spans="1:8" x14ac:dyDescent="0.3">
      <c r="A10" s="480"/>
      <c r="B10" s="137" t="s">
        <v>122</v>
      </c>
      <c r="C10" s="142">
        <v>114</v>
      </c>
      <c r="D10" s="19">
        <v>120</v>
      </c>
      <c r="E10" s="20">
        <v>123</v>
      </c>
      <c r="F10" s="16">
        <v>125</v>
      </c>
      <c r="G10" s="16">
        <v>126</v>
      </c>
      <c r="H10" s="16">
        <v>129</v>
      </c>
    </row>
    <row r="11" spans="1:8" x14ac:dyDescent="0.3">
      <c r="A11" s="480"/>
      <c r="B11" s="137" t="s">
        <v>125</v>
      </c>
      <c r="C11" s="142">
        <v>4</v>
      </c>
      <c r="D11" s="19">
        <v>4</v>
      </c>
      <c r="E11" s="20">
        <v>4</v>
      </c>
      <c r="F11" s="16">
        <v>4</v>
      </c>
      <c r="G11" s="16">
        <v>4</v>
      </c>
      <c r="H11" s="16">
        <v>3</v>
      </c>
    </row>
    <row r="12" spans="1:8" x14ac:dyDescent="0.3">
      <c r="A12" s="480"/>
      <c r="B12" s="138" t="s">
        <v>126</v>
      </c>
      <c r="C12" s="142">
        <v>3</v>
      </c>
      <c r="D12" s="19">
        <v>3</v>
      </c>
      <c r="E12" s="20">
        <v>3</v>
      </c>
      <c r="F12" s="16">
        <v>3</v>
      </c>
      <c r="G12" s="16">
        <v>3</v>
      </c>
      <c r="H12" s="16">
        <v>3</v>
      </c>
    </row>
    <row r="13" spans="1:8" x14ac:dyDescent="0.3">
      <c r="A13" s="481"/>
      <c r="B13" s="139" t="s">
        <v>113</v>
      </c>
      <c r="C13" s="143">
        <v>200</v>
      </c>
      <c r="D13" s="18">
        <v>200</v>
      </c>
      <c r="E13" s="10">
        <v>199</v>
      </c>
      <c r="F13" s="127">
        <v>199</v>
      </c>
      <c r="G13" s="127">
        <v>200</v>
      </c>
      <c r="H13" s="127">
        <v>199</v>
      </c>
    </row>
    <row r="14" spans="1:8" x14ac:dyDescent="0.3">
      <c r="A14" s="474" t="s">
        <v>127</v>
      </c>
      <c r="B14" s="136" t="s">
        <v>128</v>
      </c>
      <c r="C14" s="142">
        <v>943</v>
      </c>
      <c r="D14" s="19">
        <v>943</v>
      </c>
      <c r="E14" s="20">
        <v>944</v>
      </c>
      <c r="F14" s="16">
        <v>946</v>
      </c>
      <c r="G14" s="16">
        <v>948</v>
      </c>
      <c r="H14" s="16">
        <v>957</v>
      </c>
    </row>
    <row r="15" spans="1:8" x14ac:dyDescent="0.3">
      <c r="A15" s="474"/>
      <c r="B15" s="136" t="s">
        <v>129</v>
      </c>
      <c r="C15" s="142">
        <v>6</v>
      </c>
      <c r="D15" s="19">
        <v>6</v>
      </c>
      <c r="E15" s="20">
        <v>6</v>
      </c>
      <c r="F15" s="16">
        <v>6</v>
      </c>
      <c r="G15" s="16">
        <v>7</v>
      </c>
      <c r="H15" s="16">
        <v>6</v>
      </c>
    </row>
    <row r="16" spans="1:8" x14ac:dyDescent="0.3">
      <c r="A16" s="474"/>
      <c r="B16" s="136" t="s">
        <v>130</v>
      </c>
      <c r="C16" s="142">
        <v>42</v>
      </c>
      <c r="D16" s="19">
        <v>43</v>
      </c>
      <c r="E16" s="20">
        <v>43</v>
      </c>
      <c r="F16" s="16">
        <v>43</v>
      </c>
      <c r="G16" s="16">
        <v>42</v>
      </c>
      <c r="H16" s="16">
        <v>43</v>
      </c>
    </row>
    <row r="17" spans="1:8" x14ac:dyDescent="0.3">
      <c r="A17" s="475"/>
      <c r="B17" s="135" t="s">
        <v>131</v>
      </c>
      <c r="C17" s="143">
        <v>949</v>
      </c>
      <c r="D17" s="18">
        <v>949</v>
      </c>
      <c r="E17" s="10">
        <v>950</v>
      </c>
      <c r="F17" s="127">
        <v>952</v>
      </c>
      <c r="G17" s="127">
        <v>955</v>
      </c>
      <c r="H17" s="127">
        <v>963</v>
      </c>
    </row>
    <row r="18" spans="1:8" x14ac:dyDescent="0.3">
      <c r="A18" s="476" t="s">
        <v>132</v>
      </c>
      <c r="B18" s="136" t="s">
        <v>133</v>
      </c>
      <c r="C18" s="142">
        <v>119</v>
      </c>
      <c r="D18" s="19">
        <v>121</v>
      </c>
      <c r="E18" s="20">
        <v>120</v>
      </c>
      <c r="F18" s="16">
        <v>126</v>
      </c>
      <c r="G18" s="16">
        <v>129</v>
      </c>
      <c r="H18" s="16">
        <v>130</v>
      </c>
    </row>
    <row r="19" spans="1:8" x14ac:dyDescent="0.3">
      <c r="A19" s="477"/>
      <c r="B19" s="140" t="s">
        <v>134</v>
      </c>
      <c r="C19" s="142">
        <v>3</v>
      </c>
      <c r="D19" s="19">
        <v>3</v>
      </c>
      <c r="E19" s="20">
        <v>3</v>
      </c>
      <c r="F19" s="16">
        <v>3</v>
      </c>
      <c r="G19" s="16">
        <v>4</v>
      </c>
      <c r="H19" s="16">
        <v>5</v>
      </c>
    </row>
    <row r="20" spans="1:8" x14ac:dyDescent="0.3">
      <c r="A20" s="477"/>
      <c r="B20" s="140" t="s">
        <v>135</v>
      </c>
      <c r="C20" s="142">
        <v>2</v>
      </c>
      <c r="D20" s="19">
        <v>2</v>
      </c>
      <c r="E20" s="20">
        <v>3</v>
      </c>
      <c r="F20" s="16">
        <v>3</v>
      </c>
      <c r="G20" s="16">
        <v>3</v>
      </c>
      <c r="H20" s="16">
        <v>3</v>
      </c>
    </row>
    <row r="21" spans="1:8" x14ac:dyDescent="0.3">
      <c r="A21" s="478"/>
      <c r="B21" s="141" t="s">
        <v>113</v>
      </c>
      <c r="C21" s="143">
        <v>124</v>
      </c>
      <c r="D21" s="18">
        <v>126</v>
      </c>
      <c r="E21" s="10">
        <v>126</v>
      </c>
      <c r="F21" s="127">
        <v>132</v>
      </c>
      <c r="G21" s="127">
        <v>136</v>
      </c>
      <c r="H21" s="127">
        <v>138</v>
      </c>
    </row>
    <row r="22" spans="1:8" x14ac:dyDescent="0.3">
      <c r="A22" s="473" t="s">
        <v>136</v>
      </c>
      <c r="B22" s="136" t="s">
        <v>137</v>
      </c>
      <c r="C22" s="142">
        <v>65</v>
      </c>
      <c r="D22" s="19">
        <v>65</v>
      </c>
      <c r="E22" s="20">
        <v>65</v>
      </c>
      <c r="F22" s="16">
        <v>65</v>
      </c>
      <c r="G22" s="16">
        <v>64</v>
      </c>
      <c r="H22" s="16">
        <v>62</v>
      </c>
    </row>
    <row r="23" spans="1:8" x14ac:dyDescent="0.3">
      <c r="A23" s="474"/>
      <c r="B23" s="136" t="s">
        <v>138</v>
      </c>
      <c r="C23" s="142">
        <v>89</v>
      </c>
      <c r="D23" s="19">
        <v>88</v>
      </c>
      <c r="E23" s="20">
        <v>82</v>
      </c>
      <c r="F23" s="16">
        <v>82</v>
      </c>
      <c r="G23" s="16">
        <v>79</v>
      </c>
      <c r="H23" s="16">
        <v>78</v>
      </c>
    </row>
    <row r="24" spans="1:8" x14ac:dyDescent="0.3">
      <c r="A24" s="474"/>
      <c r="B24" s="136" t="s">
        <v>139</v>
      </c>
      <c r="C24" s="142">
        <v>14</v>
      </c>
      <c r="D24" s="19">
        <v>15</v>
      </c>
      <c r="E24" s="20">
        <v>21</v>
      </c>
      <c r="F24" s="16">
        <v>21</v>
      </c>
      <c r="G24" s="16">
        <v>24</v>
      </c>
      <c r="H24" s="16">
        <v>25</v>
      </c>
    </row>
    <row r="25" spans="1:8" x14ac:dyDescent="0.3">
      <c r="A25" s="475"/>
      <c r="B25" s="135" t="s">
        <v>113</v>
      </c>
      <c r="C25" s="143">
        <v>168</v>
      </c>
      <c r="D25" s="18">
        <v>168</v>
      </c>
      <c r="E25" s="10">
        <v>168</v>
      </c>
      <c r="F25" s="127">
        <v>168</v>
      </c>
      <c r="G25" s="127">
        <v>167</v>
      </c>
      <c r="H25" s="127">
        <v>165</v>
      </c>
    </row>
    <row r="26" spans="1:8" x14ac:dyDescent="0.3">
      <c r="A26" s="11" t="s">
        <v>140</v>
      </c>
      <c r="B26" s="136"/>
      <c r="C26" s="143">
        <v>72</v>
      </c>
      <c r="D26" s="18">
        <v>72</v>
      </c>
      <c r="E26" s="10">
        <v>72</v>
      </c>
      <c r="F26" s="127">
        <v>61</v>
      </c>
      <c r="G26" s="127">
        <v>58</v>
      </c>
      <c r="H26" s="127">
        <v>58</v>
      </c>
    </row>
    <row r="27" spans="1:8" x14ac:dyDescent="0.3">
      <c r="A27" s="473" t="s">
        <v>141</v>
      </c>
      <c r="B27" s="136" t="s">
        <v>142</v>
      </c>
      <c r="C27" s="142">
        <v>138</v>
      </c>
      <c r="D27" s="19">
        <v>140</v>
      </c>
      <c r="E27" s="20">
        <v>142</v>
      </c>
      <c r="F27" s="16">
        <v>141</v>
      </c>
      <c r="G27" s="16">
        <v>141</v>
      </c>
      <c r="H27" s="16">
        <v>142</v>
      </c>
    </row>
    <row r="28" spans="1:8" x14ac:dyDescent="0.3">
      <c r="A28" s="474"/>
      <c r="B28" s="136" t="s">
        <v>143</v>
      </c>
      <c r="C28" s="142">
        <v>16</v>
      </c>
      <c r="D28" s="19">
        <v>16</v>
      </c>
      <c r="E28" s="20">
        <v>16</v>
      </c>
      <c r="F28" s="16">
        <v>16</v>
      </c>
      <c r="G28" s="16">
        <v>16</v>
      </c>
      <c r="H28" s="16">
        <v>16</v>
      </c>
    </row>
    <row r="29" spans="1:8" x14ac:dyDescent="0.3">
      <c r="A29" s="474"/>
      <c r="B29" s="136" t="s">
        <v>144</v>
      </c>
      <c r="C29" s="142">
        <v>10</v>
      </c>
      <c r="D29" s="19">
        <v>10</v>
      </c>
      <c r="E29" s="20">
        <v>10</v>
      </c>
      <c r="F29" s="16">
        <v>10</v>
      </c>
      <c r="G29" s="16">
        <v>10</v>
      </c>
      <c r="H29" s="466">
        <v>10</v>
      </c>
    </row>
    <row r="30" spans="1:8" x14ac:dyDescent="0.3">
      <c r="A30" s="474"/>
      <c r="B30" s="136" t="s">
        <v>145</v>
      </c>
      <c r="C30" s="142">
        <v>8</v>
      </c>
      <c r="D30" s="19">
        <v>8</v>
      </c>
      <c r="E30" s="20">
        <v>8</v>
      </c>
      <c r="F30" s="16">
        <v>8</v>
      </c>
      <c r="G30" s="16">
        <v>8</v>
      </c>
      <c r="H30" s="466">
        <v>8</v>
      </c>
    </row>
    <row r="31" spans="1:8" x14ac:dyDescent="0.3">
      <c r="A31" s="474"/>
      <c r="B31" s="136" t="s">
        <v>146</v>
      </c>
      <c r="C31" s="142">
        <v>2</v>
      </c>
      <c r="D31" s="19">
        <v>2</v>
      </c>
      <c r="E31" s="20">
        <v>2</v>
      </c>
      <c r="F31" s="16">
        <v>2</v>
      </c>
      <c r="G31" s="16">
        <v>2</v>
      </c>
      <c r="H31" s="16">
        <v>2</v>
      </c>
    </row>
    <row r="32" spans="1:8" x14ac:dyDescent="0.3">
      <c r="A32" s="474"/>
      <c r="B32" s="136" t="s">
        <v>147</v>
      </c>
      <c r="C32" s="142">
        <v>1</v>
      </c>
      <c r="D32" s="19">
        <v>1</v>
      </c>
      <c r="E32" s="20">
        <v>1</v>
      </c>
      <c r="F32" s="16">
        <v>1</v>
      </c>
      <c r="G32" s="16">
        <v>1</v>
      </c>
      <c r="H32" s="16">
        <v>1</v>
      </c>
    </row>
    <row r="33" spans="1:8" ht="37.5" customHeight="1" x14ac:dyDescent="0.3">
      <c r="A33" s="474"/>
      <c r="B33" s="140" t="s">
        <v>148</v>
      </c>
      <c r="C33" s="142">
        <v>4</v>
      </c>
      <c r="D33" s="19">
        <v>4</v>
      </c>
      <c r="E33" s="20">
        <v>4</v>
      </c>
      <c r="F33" s="16">
        <v>4</v>
      </c>
      <c r="G33" s="16">
        <v>4</v>
      </c>
      <c r="H33" s="16">
        <v>4</v>
      </c>
    </row>
    <row r="34" spans="1:8" ht="60.6" customHeight="1" x14ac:dyDescent="0.3">
      <c r="A34" s="474"/>
      <c r="B34" s="327" t="s">
        <v>149</v>
      </c>
      <c r="C34" s="328">
        <v>1</v>
      </c>
      <c r="D34" s="329">
        <v>1</v>
      </c>
      <c r="E34" s="330">
        <v>1</v>
      </c>
      <c r="F34" s="82">
        <v>1</v>
      </c>
      <c r="G34" s="82">
        <v>1</v>
      </c>
      <c r="H34" s="82">
        <v>1</v>
      </c>
    </row>
    <row r="35" spans="1:8" x14ac:dyDescent="0.3">
      <c r="A35" s="326"/>
      <c r="B35" s="332" t="s">
        <v>113</v>
      </c>
      <c r="C35" s="334">
        <f t="shared" ref="C35:H35" si="0">SUM(C27:C34)</f>
        <v>180</v>
      </c>
      <c r="D35" s="335">
        <f t="shared" si="0"/>
        <v>182</v>
      </c>
      <c r="E35" s="336">
        <f t="shared" si="0"/>
        <v>184</v>
      </c>
      <c r="F35" s="337">
        <f t="shared" si="0"/>
        <v>183</v>
      </c>
      <c r="G35" s="337">
        <f t="shared" si="0"/>
        <v>183</v>
      </c>
      <c r="H35" s="337">
        <f t="shared" si="0"/>
        <v>184</v>
      </c>
    </row>
    <row r="36" spans="1:8" x14ac:dyDescent="0.3">
      <c r="A36" s="331" t="s">
        <v>113</v>
      </c>
      <c r="B36" s="333"/>
      <c r="C36" s="338">
        <f>SUM(C7,C13,C17,C21,C25,C26,C35)</f>
        <v>4111</v>
      </c>
      <c r="D36" s="339">
        <f>SUM(D7,D13,D17,D21,D26,D25,D35)</f>
        <v>4125</v>
      </c>
      <c r="E36" s="340">
        <f>SUM(E7,E13,E17,E21,E25,E26,E35)</f>
        <v>4144</v>
      </c>
      <c r="F36" s="341">
        <f>SUM(F7,F13,F17,F21,F25,F26,F35)</f>
        <v>4157</v>
      </c>
      <c r="G36" s="341">
        <f>SUM(G7,G13,G17,G21,G25,G26,G35)</f>
        <v>4192</v>
      </c>
      <c r="H36" s="341">
        <f>H7+H13+H17+H21+H25+H26+H35</f>
        <v>4210</v>
      </c>
    </row>
    <row r="37" spans="1:8" x14ac:dyDescent="0.3">
      <c r="A37" s="26" t="s">
        <v>150</v>
      </c>
    </row>
    <row r="38" spans="1:8" x14ac:dyDescent="0.3">
      <c r="A38" s="26" t="s">
        <v>151</v>
      </c>
    </row>
    <row r="39" spans="1:8" x14ac:dyDescent="0.3">
      <c r="A39" s="26" t="s">
        <v>152</v>
      </c>
    </row>
  </sheetData>
  <mergeCells count="7">
    <mergeCell ref="A27:A34"/>
    <mergeCell ref="A4:A7"/>
    <mergeCell ref="A14:A17"/>
    <mergeCell ref="A18:A21"/>
    <mergeCell ref="A22:A25"/>
    <mergeCell ref="A8:A11"/>
    <mergeCell ref="A12:A13"/>
  </mergeCells>
  <hyperlinks>
    <hyperlink ref="A1" location="Inhoud!A1" display="Terug naar inhoud" xr:uid="{147354FF-CE68-4990-9FD4-0A46655F7032}"/>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D29FB-5C62-473B-B6F1-EF7238D15A8A}">
  <sheetPr codeName="Blad40"/>
  <dimension ref="A1:L9"/>
  <sheetViews>
    <sheetView workbookViewId="0">
      <selection activeCell="A9" sqref="A9"/>
    </sheetView>
  </sheetViews>
  <sheetFormatPr defaultColWidth="9.109375" defaultRowHeight="14.4" x14ac:dyDescent="0.3"/>
  <cols>
    <col min="1" max="1" width="9.109375" style="7"/>
    <col min="2" max="11" width="14.6640625" style="7" customWidth="1"/>
    <col min="12" max="16384" width="9.109375" style="7"/>
  </cols>
  <sheetData>
    <row r="1" spans="1:12" x14ac:dyDescent="0.3">
      <c r="A1" s="375" t="s">
        <v>95</v>
      </c>
    </row>
    <row r="2" spans="1:12" ht="15" thickBot="1" x14ac:dyDescent="0.35">
      <c r="A2" s="8" t="s">
        <v>579</v>
      </c>
    </row>
    <row r="3" spans="1:12" ht="30" customHeight="1" thickBot="1" x14ac:dyDescent="0.35">
      <c r="A3" s="592"/>
      <c r="B3" s="594">
        <v>2019</v>
      </c>
      <c r="C3" s="595"/>
      <c r="D3" s="596">
        <v>2020</v>
      </c>
      <c r="E3" s="597"/>
      <c r="F3" s="596">
        <v>2021</v>
      </c>
      <c r="G3" s="597"/>
      <c r="H3" s="596">
        <v>2022</v>
      </c>
      <c r="I3" s="597"/>
      <c r="J3" s="598" t="s">
        <v>580</v>
      </c>
      <c r="K3" s="599"/>
    </row>
    <row r="4" spans="1:12" ht="43.8" thickBot="1" x14ac:dyDescent="0.35">
      <c r="A4" s="593"/>
      <c r="B4" s="125" t="s">
        <v>581</v>
      </c>
      <c r="C4" s="126" t="s">
        <v>582</v>
      </c>
      <c r="D4" s="259" t="s">
        <v>581</v>
      </c>
      <c r="E4" s="260" t="s">
        <v>582</v>
      </c>
      <c r="F4" s="259" t="s">
        <v>581</v>
      </c>
      <c r="G4" s="260" t="s">
        <v>582</v>
      </c>
      <c r="H4" s="259" t="s">
        <v>581</v>
      </c>
      <c r="I4" s="260" t="s">
        <v>582</v>
      </c>
      <c r="J4" s="259" t="s">
        <v>581</v>
      </c>
      <c r="K4" s="259" t="s">
        <v>582</v>
      </c>
    </row>
    <row r="5" spans="1:12" ht="15" thickBot="1" x14ac:dyDescent="0.35">
      <c r="A5" s="6" t="s">
        <v>158</v>
      </c>
      <c r="B5" s="403">
        <v>223</v>
      </c>
      <c r="C5" s="117">
        <v>4146012.58</v>
      </c>
      <c r="D5" s="405">
        <v>224</v>
      </c>
      <c r="E5" s="261">
        <v>4458761.9800000004</v>
      </c>
      <c r="F5" s="293">
        <v>221</v>
      </c>
      <c r="G5" s="261">
        <v>4576956.182</v>
      </c>
      <c r="H5" s="293">
        <v>248</v>
      </c>
      <c r="I5" s="261">
        <v>5506317.0599999996</v>
      </c>
      <c r="J5" s="461">
        <v>0.12217194570135746</v>
      </c>
      <c r="K5" s="461">
        <v>0.2030521685252174</v>
      </c>
      <c r="L5" s="119"/>
    </row>
    <row r="6" spans="1:12" ht="15" thickBot="1" x14ac:dyDescent="0.35">
      <c r="A6" s="6" t="s">
        <v>157</v>
      </c>
      <c r="B6" s="403">
        <v>971</v>
      </c>
      <c r="C6" s="117">
        <v>16334997.09</v>
      </c>
      <c r="D6" s="405">
        <v>975</v>
      </c>
      <c r="E6" s="261">
        <v>17710006.57</v>
      </c>
      <c r="F6" s="293">
        <v>977</v>
      </c>
      <c r="G6" s="261">
        <v>18860701.506000001</v>
      </c>
      <c r="H6" s="293">
        <v>1106</v>
      </c>
      <c r="I6" s="261">
        <v>22319284.809999999</v>
      </c>
      <c r="J6" s="461">
        <v>0.13203684749232344</v>
      </c>
      <c r="K6" s="461">
        <v>0.18337511480682447</v>
      </c>
      <c r="L6" s="119"/>
    </row>
    <row r="7" spans="1:12" ht="15" thickBot="1" x14ac:dyDescent="0.35">
      <c r="A7" s="6" t="s">
        <v>170</v>
      </c>
      <c r="B7" s="403">
        <v>445</v>
      </c>
      <c r="C7" s="117">
        <v>8742458.8100000005</v>
      </c>
      <c r="D7" s="405">
        <v>447</v>
      </c>
      <c r="E7" s="261">
        <v>8887834.0099999998</v>
      </c>
      <c r="F7" s="293">
        <v>447</v>
      </c>
      <c r="G7" s="261">
        <v>9565532.7880000006</v>
      </c>
      <c r="H7" s="293">
        <v>516</v>
      </c>
      <c r="I7" s="261">
        <v>11478742.539999999</v>
      </c>
      <c r="J7" s="461">
        <v>0.15436241610738255</v>
      </c>
      <c r="K7" s="461">
        <v>0.20001078814973358</v>
      </c>
      <c r="L7" s="119"/>
    </row>
    <row r="8" spans="1:12" ht="15" thickBot="1" x14ac:dyDescent="0.35">
      <c r="A8" s="6" t="s">
        <v>113</v>
      </c>
      <c r="B8" s="404">
        <v>1639</v>
      </c>
      <c r="C8" s="118">
        <v>29223468.48</v>
      </c>
      <c r="D8" s="262">
        <v>1646</v>
      </c>
      <c r="E8" s="263">
        <v>31056602.559999999</v>
      </c>
      <c r="F8" s="294">
        <f>SUM(F5:F7)</f>
        <v>1645</v>
      </c>
      <c r="G8" s="263">
        <f>SUM(G5:G7)</f>
        <v>33003190.476000004</v>
      </c>
      <c r="H8" s="294">
        <f>SUM(H5:H7)</f>
        <v>1870</v>
      </c>
      <c r="I8" s="263">
        <f>SUM(I5:I7)</f>
        <v>39304344.409999996</v>
      </c>
      <c r="J8" s="462">
        <v>0.13677811550151975</v>
      </c>
      <c r="K8" s="462">
        <v>0.19092559971079787</v>
      </c>
      <c r="L8" s="119"/>
    </row>
    <row r="9" spans="1:12" x14ac:dyDescent="0.3">
      <c r="A9" s="463" t="s">
        <v>583</v>
      </c>
    </row>
  </sheetData>
  <mergeCells count="6">
    <mergeCell ref="A3:A4"/>
    <mergeCell ref="B3:C3"/>
    <mergeCell ref="D3:E3"/>
    <mergeCell ref="J3:K3"/>
    <mergeCell ref="F3:G3"/>
    <mergeCell ref="H3:I3"/>
  </mergeCells>
  <hyperlinks>
    <hyperlink ref="A1" location="Inhoud!A1" display="Terug naar inhoud" xr:uid="{AF6689B7-CF19-4C97-BA6F-90DD27EAC75E}"/>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71EDE-F239-447D-BA70-AAF4918B8E54}">
  <sheetPr codeName="Blad41"/>
  <dimension ref="A1:F16"/>
  <sheetViews>
    <sheetView workbookViewId="0">
      <selection activeCell="D18" sqref="D18"/>
    </sheetView>
  </sheetViews>
  <sheetFormatPr defaultColWidth="20.6640625" defaultRowHeight="14.4" x14ac:dyDescent="0.3"/>
  <cols>
    <col min="1" max="1" width="34.109375" style="7" customWidth="1"/>
    <col min="2" max="4" width="18.88671875" style="7" customWidth="1"/>
    <col min="5" max="16384" width="20.6640625" style="7"/>
  </cols>
  <sheetData>
    <row r="1" spans="1:6" x14ac:dyDescent="0.3">
      <c r="A1" s="375" t="s">
        <v>95</v>
      </c>
    </row>
    <row r="2" spans="1:6" x14ac:dyDescent="0.3">
      <c r="A2" s="8" t="s">
        <v>652</v>
      </c>
    </row>
    <row r="3" spans="1:6" ht="15" customHeight="1" x14ac:dyDescent="0.3">
      <c r="A3" s="600"/>
      <c r="B3" s="32">
        <v>2017</v>
      </c>
      <c r="C3" s="32">
        <v>2018</v>
      </c>
      <c r="D3" s="32">
        <v>2019</v>
      </c>
      <c r="E3" s="32">
        <v>2020</v>
      </c>
      <c r="F3" s="32">
        <v>2021</v>
      </c>
    </row>
    <row r="4" spans="1:6" ht="15" customHeight="1" x14ac:dyDescent="0.3">
      <c r="A4" s="600"/>
      <c r="B4" s="32" t="s">
        <v>584</v>
      </c>
      <c r="C4" s="32" t="s">
        <v>585</v>
      </c>
      <c r="D4" s="32" t="s">
        <v>586</v>
      </c>
      <c r="E4" s="32" t="s">
        <v>587</v>
      </c>
      <c r="F4" s="32" t="s">
        <v>588</v>
      </c>
    </row>
    <row r="5" spans="1:6" ht="15" customHeight="1" x14ac:dyDescent="0.3">
      <c r="A5" s="35" t="s">
        <v>589</v>
      </c>
      <c r="B5" s="36">
        <v>54827</v>
      </c>
      <c r="C5" s="36">
        <v>60701</v>
      </c>
      <c r="D5" s="36">
        <v>63731</v>
      </c>
      <c r="E5" s="36">
        <v>62980</v>
      </c>
      <c r="F5" s="36">
        <v>67742</v>
      </c>
    </row>
    <row r="6" spans="1:6" ht="15" customHeight="1" x14ac:dyDescent="0.3">
      <c r="A6" s="37" t="s">
        <v>590</v>
      </c>
      <c r="B6" s="38">
        <v>10370852.189999999</v>
      </c>
      <c r="C6" s="36">
        <v>9825825</v>
      </c>
      <c r="D6" s="36">
        <v>10374941</v>
      </c>
      <c r="E6" s="36">
        <v>7222888</v>
      </c>
      <c r="F6" s="36">
        <v>16683109</v>
      </c>
    </row>
    <row r="7" spans="1:6" ht="15" customHeight="1" x14ac:dyDescent="0.3">
      <c r="A7" s="37" t="s">
        <v>591</v>
      </c>
      <c r="B7" s="33">
        <v>189</v>
      </c>
      <c r="C7" s="33">
        <v>162</v>
      </c>
      <c r="D7" s="33">
        <v>163</v>
      </c>
      <c r="E7" s="295">
        <f>E6/E5</f>
        <v>114.68542394410925</v>
      </c>
      <c r="F7" s="295">
        <f>F6/F5</f>
        <v>246.27423164358891</v>
      </c>
    </row>
    <row r="8" spans="1:6" ht="15" customHeight="1" x14ac:dyDescent="0.3">
      <c r="A8" s="37" t="s">
        <v>592</v>
      </c>
      <c r="B8" s="33">
        <v>997</v>
      </c>
      <c r="C8" s="36">
        <v>1082</v>
      </c>
      <c r="D8" s="36">
        <v>1085</v>
      </c>
      <c r="E8" s="36">
        <f>(E6/E9)/E5</f>
        <v>764.56949296072833</v>
      </c>
      <c r="F8" s="36">
        <f>(F6/F9)/F5</f>
        <v>1172.7344363980426</v>
      </c>
    </row>
    <row r="9" spans="1:6" ht="15" customHeight="1" x14ac:dyDescent="0.3">
      <c r="A9" s="37" t="s">
        <v>593</v>
      </c>
      <c r="B9" s="33">
        <v>0.15</v>
      </c>
      <c r="C9" s="33">
        <v>0.15</v>
      </c>
      <c r="D9" s="33">
        <v>0.15</v>
      </c>
      <c r="E9" s="33">
        <v>0.15</v>
      </c>
      <c r="F9" s="33">
        <v>0.21</v>
      </c>
    </row>
    <row r="10" spans="1:6" ht="15" customHeight="1" x14ac:dyDescent="0.3">
      <c r="A10" s="35" t="s">
        <v>594</v>
      </c>
      <c r="B10" s="36">
        <v>24278</v>
      </c>
      <c r="C10" s="36">
        <v>24619</v>
      </c>
      <c r="D10" s="36">
        <v>25162</v>
      </c>
      <c r="E10" s="36">
        <v>19230</v>
      </c>
      <c r="F10" s="36">
        <v>20069</v>
      </c>
    </row>
    <row r="11" spans="1:6" ht="15" customHeight="1" x14ac:dyDescent="0.3">
      <c r="A11" s="37" t="s">
        <v>595</v>
      </c>
      <c r="B11" s="38">
        <v>17113516.309999999</v>
      </c>
      <c r="C11" s="33">
        <v>14517259</v>
      </c>
      <c r="D11" s="36">
        <v>14365283</v>
      </c>
      <c r="E11" s="36">
        <v>9772143</v>
      </c>
      <c r="F11" s="36">
        <v>18476886</v>
      </c>
    </row>
    <row r="12" spans="1:6" ht="15" customHeight="1" x14ac:dyDescent="0.3">
      <c r="A12" s="37" t="s">
        <v>596</v>
      </c>
      <c r="B12" s="33">
        <v>565</v>
      </c>
      <c r="C12" s="33">
        <v>589</v>
      </c>
      <c r="D12" s="33">
        <v>571</v>
      </c>
      <c r="E12" s="295">
        <f>E11/E10</f>
        <v>508.17176287051484</v>
      </c>
      <c r="F12" s="295">
        <f>F11/F10</f>
        <v>920.66799541581543</v>
      </c>
    </row>
    <row r="13" spans="1:6" ht="15" customHeight="1" x14ac:dyDescent="0.3">
      <c r="A13" s="35" t="s">
        <v>597</v>
      </c>
      <c r="B13" s="39">
        <v>27484368.5</v>
      </c>
      <c r="C13" s="40">
        <v>24370084</v>
      </c>
      <c r="D13" s="40">
        <v>24740224</v>
      </c>
      <c r="E13" s="40">
        <f>E11+E6</f>
        <v>16995031</v>
      </c>
      <c r="F13" s="40">
        <f>F11+F6</f>
        <v>35159995</v>
      </c>
    </row>
    <row r="14" spans="1:6" x14ac:dyDescent="0.3">
      <c r="D14" s="120"/>
      <c r="E14" s="120"/>
    </row>
    <row r="16" spans="1:6" x14ac:dyDescent="0.3">
      <c r="C16" s="120"/>
    </row>
  </sheetData>
  <mergeCells count="1">
    <mergeCell ref="A3:A4"/>
  </mergeCells>
  <hyperlinks>
    <hyperlink ref="A1" location="Inhoud!A1" display="Terug naar inhoud" xr:uid="{477CAD50-C0A5-4D73-AA66-21C85250A08D}"/>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4CFBC-FE2D-4F5A-9BE1-36BC47D33DD0}">
  <sheetPr codeName="Blad42"/>
  <dimension ref="A1:R20"/>
  <sheetViews>
    <sheetView topLeftCell="A4" workbookViewId="0">
      <selection activeCell="A2" sqref="A2"/>
    </sheetView>
  </sheetViews>
  <sheetFormatPr defaultColWidth="9.109375" defaultRowHeight="14.4" x14ac:dyDescent="0.3"/>
  <cols>
    <col min="1" max="1" width="18.44140625" style="7" customWidth="1"/>
    <col min="2" max="3" width="5.44140625" style="7" bestFit="1" customWidth="1"/>
    <col min="4" max="4" width="8.6640625" style="7" bestFit="1" customWidth="1"/>
    <col min="5" max="6" width="5.44140625" style="7" bestFit="1" customWidth="1"/>
    <col min="7" max="7" width="8.6640625" style="7" bestFit="1" customWidth="1"/>
    <col min="8" max="9" width="5.44140625" style="7" bestFit="1" customWidth="1"/>
    <col min="10" max="10" width="8.6640625" style="7" bestFit="1" customWidth="1"/>
    <col min="11" max="16" width="8.6640625" style="7" customWidth="1"/>
    <col min="17" max="17" width="8.33203125" style="7" customWidth="1"/>
    <col min="18" max="18" width="8.44140625" style="7" bestFit="1" customWidth="1"/>
    <col min="19" max="16384" width="9.109375" style="7"/>
  </cols>
  <sheetData>
    <row r="1" spans="1:18" x14ac:dyDescent="0.3">
      <c r="A1" s="375" t="s">
        <v>95</v>
      </c>
    </row>
    <row r="2" spans="1:18" x14ac:dyDescent="0.3">
      <c r="A2" s="8" t="s">
        <v>653</v>
      </c>
    </row>
    <row r="3" spans="1:18" ht="41.4" customHeight="1" x14ac:dyDescent="0.3">
      <c r="A3" s="264"/>
      <c r="B3" s="601">
        <v>2018</v>
      </c>
      <c r="C3" s="601"/>
      <c r="D3" s="601"/>
      <c r="E3" s="601">
        <v>2019</v>
      </c>
      <c r="F3" s="601"/>
      <c r="G3" s="601"/>
      <c r="H3" s="602">
        <v>2020</v>
      </c>
      <c r="I3" s="602"/>
      <c r="J3" s="602"/>
      <c r="K3" s="602">
        <v>2021</v>
      </c>
      <c r="L3" s="602"/>
      <c r="M3" s="602"/>
      <c r="N3" s="602">
        <v>2022</v>
      </c>
      <c r="O3" s="602"/>
      <c r="P3" s="602"/>
      <c r="Q3" s="603" t="s">
        <v>580</v>
      </c>
      <c r="R3" s="603"/>
    </row>
    <row r="4" spans="1:18" ht="110.25" customHeight="1" x14ac:dyDescent="0.3">
      <c r="A4" s="264"/>
      <c r="B4" s="265" t="s">
        <v>598</v>
      </c>
      <c r="C4" s="265" t="s">
        <v>599</v>
      </c>
      <c r="D4" s="265" t="s">
        <v>582</v>
      </c>
      <c r="E4" s="265" t="s">
        <v>598</v>
      </c>
      <c r="F4" s="265" t="s">
        <v>599</v>
      </c>
      <c r="G4" s="265" t="s">
        <v>582</v>
      </c>
      <c r="H4" s="265" t="s">
        <v>598</v>
      </c>
      <c r="I4" s="265" t="s">
        <v>599</v>
      </c>
      <c r="J4" s="265" t="s">
        <v>582</v>
      </c>
      <c r="K4" s="265" t="s">
        <v>598</v>
      </c>
      <c r="L4" s="265" t="s">
        <v>599</v>
      </c>
      <c r="M4" s="265" t="s">
        <v>582</v>
      </c>
      <c r="N4" s="265" t="s">
        <v>598</v>
      </c>
      <c r="O4" s="265" t="s">
        <v>599</v>
      </c>
      <c r="P4" s="265" t="s">
        <v>582</v>
      </c>
      <c r="Q4" s="265" t="s">
        <v>599</v>
      </c>
      <c r="R4" s="265" t="s">
        <v>582</v>
      </c>
    </row>
    <row r="5" spans="1:18" ht="30" customHeight="1" x14ac:dyDescent="0.3">
      <c r="A5" s="266" t="s">
        <v>600</v>
      </c>
      <c r="B5" s="267">
        <v>3</v>
      </c>
      <c r="C5" s="267">
        <v>15</v>
      </c>
      <c r="D5" s="267">
        <v>4685</v>
      </c>
      <c r="E5" s="267">
        <v>1</v>
      </c>
      <c r="F5" s="267">
        <v>12</v>
      </c>
      <c r="G5" s="267">
        <v>3815</v>
      </c>
      <c r="H5" s="268">
        <v>1</v>
      </c>
      <c r="I5" s="268">
        <v>9</v>
      </c>
      <c r="J5" s="269">
        <v>2862.5</v>
      </c>
      <c r="K5" s="269">
        <v>1</v>
      </c>
      <c r="L5" s="269">
        <v>9</v>
      </c>
      <c r="M5" s="269">
        <v>2952.5</v>
      </c>
      <c r="N5" s="269">
        <v>1</v>
      </c>
      <c r="O5" s="269">
        <v>14</v>
      </c>
      <c r="P5" s="269">
        <v>5930</v>
      </c>
      <c r="Q5" s="414">
        <f>(O5/L5)-1</f>
        <v>0.55555555555555558</v>
      </c>
      <c r="R5" s="414">
        <f>(P5/M5)-1</f>
        <v>1.0084674005080441</v>
      </c>
    </row>
    <row r="6" spans="1:18" ht="39.9" customHeight="1" x14ac:dyDescent="0.3">
      <c r="A6" s="266" t="s">
        <v>601</v>
      </c>
      <c r="B6" s="267">
        <v>27</v>
      </c>
      <c r="C6" s="267">
        <v>130</v>
      </c>
      <c r="D6" s="270">
        <v>45897.5</v>
      </c>
      <c r="E6" s="267">
        <v>27</v>
      </c>
      <c r="F6" s="267">
        <v>131</v>
      </c>
      <c r="G6" s="267">
        <v>45912.5</v>
      </c>
      <c r="H6" s="268">
        <v>24</v>
      </c>
      <c r="I6" s="268">
        <v>103</v>
      </c>
      <c r="J6" s="269">
        <v>36022.5</v>
      </c>
      <c r="K6" s="269">
        <v>24</v>
      </c>
      <c r="L6" s="269">
        <v>113</v>
      </c>
      <c r="M6" s="269">
        <v>38450</v>
      </c>
      <c r="N6" s="269">
        <v>24</v>
      </c>
      <c r="O6" s="269">
        <v>134</v>
      </c>
      <c r="P6" s="269">
        <v>69955</v>
      </c>
      <c r="Q6" s="414">
        <f>(O6/L6)-1</f>
        <v>0.18584070796460184</v>
      </c>
      <c r="R6" s="414">
        <f t="shared" ref="R6:R9" si="0">(P6/M6)-1</f>
        <v>0.8193758127438231</v>
      </c>
    </row>
    <row r="7" spans="1:18" ht="30" customHeight="1" x14ac:dyDescent="0.3">
      <c r="A7" s="266" t="s">
        <v>602</v>
      </c>
      <c r="B7" s="267">
        <v>110</v>
      </c>
      <c r="C7" s="267">
        <v>668</v>
      </c>
      <c r="D7" s="271">
        <v>225776</v>
      </c>
      <c r="E7" s="267">
        <v>104</v>
      </c>
      <c r="F7" s="267">
        <v>648</v>
      </c>
      <c r="G7" s="267">
        <v>222252.5</v>
      </c>
      <c r="H7" s="268">
        <v>97</v>
      </c>
      <c r="I7" s="268">
        <v>578</v>
      </c>
      <c r="J7" s="272">
        <v>204375</v>
      </c>
      <c r="K7" s="272">
        <v>107</v>
      </c>
      <c r="L7" s="272">
        <v>662</v>
      </c>
      <c r="M7" s="272">
        <v>224720.5</v>
      </c>
      <c r="N7" s="272">
        <v>99</v>
      </c>
      <c r="O7" s="272">
        <v>581</v>
      </c>
      <c r="P7" s="272">
        <v>284710</v>
      </c>
      <c r="Q7" s="414">
        <f t="shared" ref="Q7:Q9" si="1">(O7/L7)-1</f>
        <v>-0.12235649546827798</v>
      </c>
      <c r="R7" s="414">
        <f t="shared" si="0"/>
        <v>0.26695161322620775</v>
      </c>
    </row>
    <row r="8" spans="1:18" ht="30" customHeight="1" x14ac:dyDescent="0.3">
      <c r="A8" s="266" t="s">
        <v>170</v>
      </c>
      <c r="B8" s="267">
        <v>167</v>
      </c>
      <c r="C8" s="267">
        <v>483</v>
      </c>
      <c r="D8" s="271">
        <v>163185</v>
      </c>
      <c r="E8" s="267">
        <v>159</v>
      </c>
      <c r="F8" s="267">
        <v>466</v>
      </c>
      <c r="G8" s="267">
        <v>160182.79999999999</v>
      </c>
      <c r="H8" s="268">
        <v>141</v>
      </c>
      <c r="I8" s="268">
        <v>425</v>
      </c>
      <c r="J8" s="269">
        <v>147632.5</v>
      </c>
      <c r="K8" s="269">
        <v>133</v>
      </c>
      <c r="L8" s="269">
        <v>422</v>
      </c>
      <c r="M8" s="269">
        <v>146927.5</v>
      </c>
      <c r="N8" s="269">
        <v>113</v>
      </c>
      <c r="O8" s="269">
        <v>418</v>
      </c>
      <c r="P8" s="269">
        <v>201510</v>
      </c>
      <c r="Q8" s="414">
        <f t="shared" si="1"/>
        <v>-9.4786729857819774E-3</v>
      </c>
      <c r="R8" s="414">
        <f t="shared" si="0"/>
        <v>0.37149274301951651</v>
      </c>
    </row>
    <row r="9" spans="1:18" ht="30" customHeight="1" x14ac:dyDescent="0.3">
      <c r="A9" s="273" t="s">
        <v>113</v>
      </c>
      <c r="B9" s="274">
        <v>307</v>
      </c>
      <c r="C9" s="275">
        <v>1296</v>
      </c>
      <c r="D9" s="276">
        <v>439543.5</v>
      </c>
      <c r="E9" s="274">
        <v>291</v>
      </c>
      <c r="F9" s="274">
        <v>1257</v>
      </c>
      <c r="G9" s="276">
        <v>432162.5</v>
      </c>
      <c r="H9" s="277">
        <v>263</v>
      </c>
      <c r="I9" s="278">
        <v>1115</v>
      </c>
      <c r="J9" s="279">
        <v>390892.5</v>
      </c>
      <c r="K9" s="279">
        <f t="shared" ref="K9:P9" si="2">SUM(K5:K8)</f>
        <v>265</v>
      </c>
      <c r="L9" s="279">
        <f t="shared" si="2"/>
        <v>1206</v>
      </c>
      <c r="M9" s="279">
        <f t="shared" si="2"/>
        <v>413050.5</v>
      </c>
      <c r="N9" s="279">
        <f t="shared" si="2"/>
        <v>237</v>
      </c>
      <c r="O9" s="279">
        <f t="shared" si="2"/>
        <v>1147</v>
      </c>
      <c r="P9" s="279">
        <f t="shared" si="2"/>
        <v>562105</v>
      </c>
      <c r="Q9" s="414">
        <f t="shared" si="1"/>
        <v>-4.8922056384743007E-2</v>
      </c>
      <c r="R9" s="414">
        <f t="shared" si="0"/>
        <v>0.36086265480855251</v>
      </c>
    </row>
    <row r="10" spans="1:18" x14ac:dyDescent="0.3">
      <c r="A10" s="604"/>
      <c r="B10" s="605"/>
      <c r="C10" s="605"/>
      <c r="D10" s="605"/>
      <c r="E10" s="605"/>
      <c r="F10" s="605"/>
      <c r="G10" s="605"/>
      <c r="H10" s="605"/>
      <c r="I10" s="605"/>
      <c r="J10" s="605"/>
      <c r="K10" s="605"/>
      <c r="L10" s="605"/>
      <c r="M10" s="605"/>
      <c r="N10" s="605"/>
      <c r="O10" s="605"/>
      <c r="P10" s="605"/>
      <c r="Q10" s="605"/>
      <c r="R10" s="606"/>
    </row>
    <row r="11" spans="1:18" ht="34.950000000000003" customHeight="1" x14ac:dyDescent="0.3">
      <c r="A11" s="280"/>
      <c r="B11" s="601">
        <v>2018</v>
      </c>
      <c r="C11" s="601"/>
      <c r="D11" s="601"/>
      <c r="E11" s="601">
        <v>2019</v>
      </c>
      <c r="F11" s="601"/>
      <c r="G11" s="601"/>
      <c r="H11" s="602">
        <v>2020</v>
      </c>
      <c r="I11" s="602"/>
      <c r="J11" s="602"/>
      <c r="K11" s="602">
        <v>2021</v>
      </c>
      <c r="L11" s="602"/>
      <c r="M11" s="602"/>
      <c r="N11" s="602">
        <v>2022</v>
      </c>
      <c r="O11" s="602"/>
      <c r="P11" s="602"/>
      <c r="Q11" s="603" t="s">
        <v>580</v>
      </c>
      <c r="R11" s="603"/>
    </row>
    <row r="12" spans="1:18" ht="110.25" customHeight="1" x14ac:dyDescent="0.3">
      <c r="A12" s="264"/>
      <c r="B12" s="265" t="s">
        <v>598</v>
      </c>
      <c r="C12" s="265" t="s">
        <v>599</v>
      </c>
      <c r="D12" s="265" t="s">
        <v>582</v>
      </c>
      <c r="E12" s="265" t="s">
        <v>598</v>
      </c>
      <c r="F12" s="265" t="s">
        <v>599</v>
      </c>
      <c r="G12" s="265" t="s">
        <v>582</v>
      </c>
      <c r="H12" s="265" t="s">
        <v>598</v>
      </c>
      <c r="I12" s="265" t="s">
        <v>599</v>
      </c>
      <c r="J12" s="265" t="s">
        <v>582</v>
      </c>
      <c r="K12" s="265" t="s">
        <v>598</v>
      </c>
      <c r="L12" s="265" t="s">
        <v>599</v>
      </c>
      <c r="M12" s="265" t="s">
        <v>582</v>
      </c>
      <c r="N12" s="265" t="s">
        <v>598</v>
      </c>
      <c r="O12" s="265" t="s">
        <v>599</v>
      </c>
      <c r="P12" s="265" t="s">
        <v>582</v>
      </c>
      <c r="Q12" s="265" t="s">
        <v>599</v>
      </c>
      <c r="R12" s="265" t="s">
        <v>582</v>
      </c>
    </row>
    <row r="13" spans="1:18" ht="30" customHeight="1" x14ac:dyDescent="0.3">
      <c r="A13" s="266" t="s">
        <v>603</v>
      </c>
      <c r="B13" s="267">
        <v>118</v>
      </c>
      <c r="C13" s="267">
        <v>141</v>
      </c>
      <c r="D13" s="271">
        <v>46920</v>
      </c>
      <c r="E13" s="267">
        <v>110</v>
      </c>
      <c r="F13" s="267">
        <v>139</v>
      </c>
      <c r="G13" s="271">
        <v>46935</v>
      </c>
      <c r="H13" s="268">
        <v>93</v>
      </c>
      <c r="I13" s="268">
        <v>129</v>
      </c>
      <c r="J13" s="272">
        <v>43435</v>
      </c>
      <c r="K13" s="272">
        <v>87</v>
      </c>
      <c r="L13" s="272">
        <v>103</v>
      </c>
      <c r="M13" s="272">
        <v>33487.5</v>
      </c>
      <c r="N13" s="272">
        <v>66</v>
      </c>
      <c r="O13" s="272">
        <v>77</v>
      </c>
      <c r="P13" s="272">
        <v>35810</v>
      </c>
      <c r="Q13" s="414">
        <f>(O13/L13)-1</f>
        <v>-0.25242718446601942</v>
      </c>
      <c r="R13" s="414">
        <f>(P13/M13)-1</f>
        <v>6.9354236655468471E-2</v>
      </c>
    </row>
    <row r="14" spans="1:18" ht="30" customHeight="1" x14ac:dyDescent="0.3">
      <c r="A14" s="266" t="s">
        <v>108</v>
      </c>
      <c r="B14" s="267">
        <v>8</v>
      </c>
      <c r="C14" s="267">
        <v>9</v>
      </c>
      <c r="D14" s="271">
        <v>2567</v>
      </c>
      <c r="E14" s="267">
        <v>6</v>
      </c>
      <c r="F14" s="267">
        <v>7</v>
      </c>
      <c r="G14" s="267">
        <v>2412.5</v>
      </c>
      <c r="H14" s="268">
        <v>4</v>
      </c>
      <c r="I14" s="268">
        <v>5</v>
      </c>
      <c r="J14" s="272">
        <v>1640</v>
      </c>
      <c r="K14" s="272">
        <v>3</v>
      </c>
      <c r="L14" s="272">
        <v>4</v>
      </c>
      <c r="M14" s="272">
        <v>1355</v>
      </c>
      <c r="N14" s="272">
        <v>5</v>
      </c>
      <c r="O14" s="272">
        <v>7</v>
      </c>
      <c r="P14" s="272">
        <v>3080</v>
      </c>
      <c r="Q14" s="414">
        <f t="shared" ref="Q14:Q19" si="3">(O14/L14)-1</f>
        <v>0.75</v>
      </c>
      <c r="R14" s="414">
        <f t="shared" ref="R14:R19" si="4">(P14/M14)-1</f>
        <v>1.2730627306273061</v>
      </c>
    </row>
    <row r="15" spans="1:18" ht="30" customHeight="1" x14ac:dyDescent="0.3">
      <c r="A15" s="273" t="s">
        <v>604</v>
      </c>
      <c r="B15" s="274">
        <v>126</v>
      </c>
      <c r="C15" s="274">
        <v>150</v>
      </c>
      <c r="D15" s="275">
        <v>49487</v>
      </c>
      <c r="E15" s="274">
        <v>116</v>
      </c>
      <c r="F15" s="274">
        <v>146</v>
      </c>
      <c r="G15" s="276">
        <v>49347.5</v>
      </c>
      <c r="H15" s="277">
        <v>97</v>
      </c>
      <c r="I15" s="277">
        <v>134</v>
      </c>
      <c r="J15" s="278">
        <v>45075</v>
      </c>
      <c r="K15" s="278">
        <v>90</v>
      </c>
      <c r="L15" s="278">
        <v>107</v>
      </c>
      <c r="M15" s="278">
        <f>M13+M14</f>
        <v>34842.5</v>
      </c>
      <c r="N15" s="278">
        <f>SUM(N13:N14)</f>
        <v>71</v>
      </c>
      <c r="O15" s="278">
        <f>SUM(O13:O14)</f>
        <v>84</v>
      </c>
      <c r="P15" s="278">
        <f>SUM(P13:P14)</f>
        <v>38890</v>
      </c>
      <c r="Q15" s="414">
        <f t="shared" si="3"/>
        <v>-0.21495327102803741</v>
      </c>
      <c r="R15" s="414">
        <f t="shared" si="4"/>
        <v>0.11616560235344764</v>
      </c>
    </row>
    <row r="16" spans="1:18" ht="30" customHeight="1" x14ac:dyDescent="0.3">
      <c r="A16" s="266" t="s">
        <v>458</v>
      </c>
      <c r="B16" s="267">
        <v>111</v>
      </c>
      <c r="C16" s="267">
        <v>637</v>
      </c>
      <c r="D16" s="270">
        <v>218580.5</v>
      </c>
      <c r="E16" s="267">
        <v>107</v>
      </c>
      <c r="F16" s="267">
        <v>587</v>
      </c>
      <c r="G16" s="271">
        <v>203680</v>
      </c>
      <c r="H16" s="268">
        <v>99</v>
      </c>
      <c r="I16" s="268">
        <v>518</v>
      </c>
      <c r="J16" s="269">
        <v>179077.5</v>
      </c>
      <c r="K16" s="269">
        <v>104</v>
      </c>
      <c r="L16" s="269">
        <v>567</v>
      </c>
      <c r="M16" s="269">
        <v>193753.5</v>
      </c>
      <c r="N16" s="269">
        <v>99</v>
      </c>
      <c r="O16" s="269">
        <v>551</v>
      </c>
      <c r="P16" s="269">
        <v>268575</v>
      </c>
      <c r="Q16" s="414">
        <f t="shared" si="3"/>
        <v>-2.821869488536155E-2</v>
      </c>
      <c r="R16" s="414">
        <f t="shared" si="4"/>
        <v>0.38616850792372781</v>
      </c>
    </row>
    <row r="17" spans="1:18" ht="30" customHeight="1" x14ac:dyDescent="0.3">
      <c r="A17" s="266" t="s">
        <v>109</v>
      </c>
      <c r="B17" s="267">
        <v>70</v>
      </c>
      <c r="C17" s="267">
        <v>509</v>
      </c>
      <c r="D17" s="271">
        <v>171476</v>
      </c>
      <c r="E17" s="267">
        <v>68</v>
      </c>
      <c r="F17" s="267">
        <v>524</v>
      </c>
      <c r="G17" s="271">
        <v>179135</v>
      </c>
      <c r="H17" s="268">
        <v>67</v>
      </c>
      <c r="I17" s="268">
        <v>463</v>
      </c>
      <c r="J17" s="272">
        <v>166740</v>
      </c>
      <c r="K17" s="272">
        <v>71</v>
      </c>
      <c r="L17" s="272">
        <v>532</v>
      </c>
      <c r="M17" s="272">
        <v>184454</v>
      </c>
      <c r="N17" s="272">
        <v>67</v>
      </c>
      <c r="O17" s="272">
        <v>512</v>
      </c>
      <c r="P17" s="272">
        <v>254640</v>
      </c>
      <c r="Q17" s="414">
        <f t="shared" si="3"/>
        <v>-3.7593984962406068E-2</v>
      </c>
      <c r="R17" s="414">
        <f t="shared" si="4"/>
        <v>0.38050679302156643</v>
      </c>
    </row>
    <row r="18" spans="1:18" ht="30" customHeight="1" x14ac:dyDescent="0.3">
      <c r="A18" s="273" t="s">
        <v>605</v>
      </c>
      <c r="B18" s="274">
        <v>180</v>
      </c>
      <c r="C18" s="275">
        <v>1146</v>
      </c>
      <c r="D18" s="276">
        <v>390056.5</v>
      </c>
      <c r="E18" s="274">
        <v>175</v>
      </c>
      <c r="F18" s="275">
        <v>1111</v>
      </c>
      <c r="G18" s="275">
        <v>382815</v>
      </c>
      <c r="H18" s="277">
        <v>166</v>
      </c>
      <c r="I18" s="277">
        <v>981</v>
      </c>
      <c r="J18" s="279">
        <v>345817.5</v>
      </c>
      <c r="K18" s="279">
        <v>175</v>
      </c>
      <c r="L18" s="279">
        <f>L16+L17</f>
        <v>1099</v>
      </c>
      <c r="M18" s="279">
        <f>M16+M17</f>
        <v>378207.5</v>
      </c>
      <c r="N18" s="279">
        <f>SUM(N16:N17)</f>
        <v>166</v>
      </c>
      <c r="O18" s="279">
        <f>SUM(O16:O17)</f>
        <v>1063</v>
      </c>
      <c r="P18" s="279">
        <f>SUM(P16:P17)</f>
        <v>523215</v>
      </c>
      <c r="Q18" s="414">
        <f t="shared" si="3"/>
        <v>-3.2757051865332065E-2</v>
      </c>
      <c r="R18" s="414">
        <f t="shared" si="4"/>
        <v>0.38340725659856023</v>
      </c>
    </row>
    <row r="19" spans="1:18" ht="30" customHeight="1" x14ac:dyDescent="0.3">
      <c r="A19" s="273" t="s">
        <v>606</v>
      </c>
      <c r="B19" s="274">
        <v>307</v>
      </c>
      <c r="C19" s="275">
        <v>1296</v>
      </c>
      <c r="D19" s="276">
        <v>439543.5</v>
      </c>
      <c r="E19" s="274">
        <v>291</v>
      </c>
      <c r="F19" s="275">
        <v>1257</v>
      </c>
      <c r="G19" s="276">
        <v>432162.5</v>
      </c>
      <c r="H19" s="277">
        <v>263</v>
      </c>
      <c r="I19" s="278">
        <v>1115</v>
      </c>
      <c r="J19" s="279">
        <v>390892.5</v>
      </c>
      <c r="K19" s="279">
        <f>K15+K18</f>
        <v>265</v>
      </c>
      <c r="L19" s="279">
        <f>L15+L18</f>
        <v>1206</v>
      </c>
      <c r="M19" s="279">
        <f>M18+M15</f>
        <v>413050</v>
      </c>
      <c r="N19" s="279">
        <f>N15+N18</f>
        <v>237</v>
      </c>
      <c r="O19" s="279">
        <f>O18+O15</f>
        <v>1147</v>
      </c>
      <c r="P19" s="279">
        <f>P18+P15</f>
        <v>562105</v>
      </c>
      <c r="Q19" s="414">
        <f t="shared" si="3"/>
        <v>-4.8922056384743007E-2</v>
      </c>
      <c r="R19" s="414">
        <f t="shared" si="4"/>
        <v>0.36086430214259768</v>
      </c>
    </row>
    <row r="20" spans="1:18" ht="41.4" x14ac:dyDescent="0.3">
      <c r="A20" s="281" t="s">
        <v>607</v>
      </c>
    </row>
  </sheetData>
  <mergeCells count="13">
    <mergeCell ref="B3:D3"/>
    <mergeCell ref="E3:G3"/>
    <mergeCell ref="H3:J3"/>
    <mergeCell ref="Q3:R3"/>
    <mergeCell ref="B11:D11"/>
    <mergeCell ref="E11:G11"/>
    <mergeCell ref="H11:J11"/>
    <mergeCell ref="Q11:R11"/>
    <mergeCell ref="A10:R10"/>
    <mergeCell ref="K3:M3"/>
    <mergeCell ref="K11:M11"/>
    <mergeCell ref="N3:P3"/>
    <mergeCell ref="N11:P11"/>
  </mergeCells>
  <hyperlinks>
    <hyperlink ref="A1" location="Inhoud!A1" display="Terug naar inhoud" xr:uid="{FA0F7D53-0A23-49F4-90A2-F97DE63B6D2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0E859-1169-456D-BB6C-F304D98B7187}">
  <sheetPr codeName="Blad43"/>
  <dimension ref="A1:F16"/>
  <sheetViews>
    <sheetView workbookViewId="0">
      <selection activeCell="F14" sqref="F14"/>
    </sheetView>
  </sheetViews>
  <sheetFormatPr defaultColWidth="9.109375" defaultRowHeight="14.4" x14ac:dyDescent="0.3"/>
  <cols>
    <col min="1" max="1" width="44.44140625" style="41" customWidth="1"/>
    <col min="2" max="2" width="13.88671875" style="7" customWidth="1"/>
    <col min="3" max="3" width="13.88671875" style="7" bestFit="1" customWidth="1"/>
    <col min="4" max="4" width="13.33203125" style="7" bestFit="1" customWidth="1"/>
    <col min="5" max="5" width="14.44140625" style="7" customWidth="1"/>
    <col min="6" max="6" width="13" style="7" customWidth="1"/>
    <col min="7" max="16384" width="9.109375" style="7"/>
  </cols>
  <sheetData>
    <row r="1" spans="1:6" x14ac:dyDescent="0.3">
      <c r="A1" s="375" t="s">
        <v>95</v>
      </c>
    </row>
    <row r="2" spans="1:6" x14ac:dyDescent="0.3">
      <c r="A2" s="8" t="s">
        <v>659</v>
      </c>
    </row>
    <row r="3" spans="1:6" ht="43.2" x14ac:dyDescent="0.3">
      <c r="A3" s="11"/>
      <c r="B3" s="10" t="s">
        <v>608</v>
      </c>
      <c r="C3" s="10" t="s">
        <v>609</v>
      </c>
      <c r="D3" s="127" t="s">
        <v>610</v>
      </c>
      <c r="E3" s="127" t="s">
        <v>611</v>
      </c>
      <c r="F3" s="127" t="s">
        <v>612</v>
      </c>
    </row>
    <row r="4" spans="1:6" x14ac:dyDescent="0.3">
      <c r="A4" s="13" t="s">
        <v>613</v>
      </c>
      <c r="B4" s="18">
        <v>276</v>
      </c>
      <c r="C4" s="10">
        <v>281</v>
      </c>
      <c r="D4" s="47">
        <v>249</v>
      </c>
      <c r="E4" s="47">
        <v>255</v>
      </c>
      <c r="F4" s="47">
        <v>240</v>
      </c>
    </row>
    <row r="5" spans="1:6" x14ac:dyDescent="0.3">
      <c r="A5" s="46" t="s">
        <v>614</v>
      </c>
      <c r="B5" s="19">
        <v>268</v>
      </c>
      <c r="C5" s="20">
        <v>274</v>
      </c>
      <c r="D5" s="48">
        <v>243</v>
      </c>
      <c r="E5" s="48">
        <v>250</v>
      </c>
      <c r="F5" s="48">
        <v>236</v>
      </c>
    </row>
    <row r="6" spans="1:6" x14ac:dyDescent="0.3">
      <c r="A6" s="46" t="s">
        <v>615</v>
      </c>
      <c r="B6" s="19">
        <v>8</v>
      </c>
      <c r="C6" s="20">
        <v>7</v>
      </c>
      <c r="D6" s="48">
        <v>6</v>
      </c>
      <c r="E6" s="48">
        <v>5</v>
      </c>
      <c r="F6" s="48">
        <v>4</v>
      </c>
    </row>
    <row r="7" spans="1:6" ht="28.8" x14ac:dyDescent="0.3">
      <c r="A7" s="22" t="s">
        <v>616</v>
      </c>
      <c r="B7" s="19">
        <v>2</v>
      </c>
      <c r="C7" s="20">
        <v>2</v>
      </c>
      <c r="D7" s="48">
        <v>0</v>
      </c>
      <c r="E7" s="48">
        <v>0</v>
      </c>
      <c r="F7" s="48">
        <v>6</v>
      </c>
    </row>
    <row r="8" spans="1:6" x14ac:dyDescent="0.3">
      <c r="A8" s="22" t="s">
        <v>617</v>
      </c>
      <c r="B8" s="19">
        <v>7</v>
      </c>
      <c r="C8" s="20">
        <v>8</v>
      </c>
      <c r="D8" s="48">
        <v>6</v>
      </c>
      <c r="E8" s="48">
        <v>4</v>
      </c>
      <c r="F8" s="48">
        <v>2</v>
      </c>
    </row>
    <row r="9" spans="1:6" x14ac:dyDescent="0.3">
      <c r="A9" s="22" t="s">
        <v>618</v>
      </c>
      <c r="B9" s="19">
        <v>5</v>
      </c>
      <c r="C9" s="20">
        <v>5</v>
      </c>
      <c r="D9" s="48">
        <v>8</v>
      </c>
      <c r="E9" s="48">
        <v>6</v>
      </c>
      <c r="F9" s="48">
        <v>6</v>
      </c>
    </row>
    <row r="10" spans="1:6" x14ac:dyDescent="0.3">
      <c r="A10" s="13" t="s">
        <v>619</v>
      </c>
      <c r="B10" s="21">
        <v>1117000</v>
      </c>
      <c r="C10" s="21">
        <v>1117000</v>
      </c>
      <c r="D10" s="49">
        <v>1050000</v>
      </c>
      <c r="E10" s="49">
        <v>1050000</v>
      </c>
      <c r="F10" s="49">
        <v>1050000</v>
      </c>
    </row>
    <row r="11" spans="1:6" x14ac:dyDescent="0.3">
      <c r="A11" s="389" t="s">
        <v>620</v>
      </c>
      <c r="B11" s="390">
        <v>1983036.95</v>
      </c>
      <c r="C11" s="390">
        <v>2033176.78</v>
      </c>
      <c r="D11" s="50">
        <v>1993618.56</v>
      </c>
      <c r="E11" s="50">
        <v>2152350.7200000002</v>
      </c>
      <c r="F11" s="50">
        <v>2190941.5699999998</v>
      </c>
    </row>
    <row r="12" spans="1:6" x14ac:dyDescent="0.3">
      <c r="A12" s="13" t="s">
        <v>621</v>
      </c>
      <c r="B12" s="42">
        <v>0.56269999999999998</v>
      </c>
      <c r="C12" s="43">
        <v>0.5494</v>
      </c>
      <c r="D12" s="284">
        <f>D10/D11</f>
        <v>0.52668048997296657</v>
      </c>
      <c r="E12" s="284">
        <f>E10/E11</f>
        <v>0.48783871059824296</v>
      </c>
      <c r="F12" s="284">
        <f>F10/F11</f>
        <v>0.47924600745970602</v>
      </c>
    </row>
    <row r="13" spans="1:6" ht="28.8" x14ac:dyDescent="0.3">
      <c r="A13" s="22" t="s">
        <v>622</v>
      </c>
      <c r="B13" s="44">
        <v>4.19E-2</v>
      </c>
      <c r="C13" s="45">
        <v>2.53E-2</v>
      </c>
      <c r="D13" s="51">
        <v>-1.95E-2</v>
      </c>
      <c r="E13" s="51">
        <f>(E11-D11)/D11</f>
        <v>7.9620125526921326E-2</v>
      </c>
      <c r="F13" s="51">
        <v>1.7899999999999999E-2</v>
      </c>
    </row>
    <row r="14" spans="1:6" x14ac:dyDescent="0.3">
      <c r="A14" s="26" t="s">
        <v>623</v>
      </c>
    </row>
    <row r="15" spans="1:6" x14ac:dyDescent="0.3">
      <c r="A15" s="26" t="s">
        <v>624</v>
      </c>
    </row>
    <row r="16" spans="1:6" x14ac:dyDescent="0.3">
      <c r="A16" s="52"/>
    </row>
  </sheetData>
  <hyperlinks>
    <hyperlink ref="A1" location="Inhoud!A1" display="Terug naar inhoud" xr:uid="{BF2527CD-15A8-4905-95A4-9C7BC118D905}"/>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2343C-1693-4311-9FCB-ECE8C9921715}">
  <sheetPr codeName="Blad44"/>
  <dimension ref="A1:B9"/>
  <sheetViews>
    <sheetView workbookViewId="0">
      <selection activeCell="A2" sqref="A2"/>
    </sheetView>
  </sheetViews>
  <sheetFormatPr defaultColWidth="9.109375" defaultRowHeight="14.4" x14ac:dyDescent="0.3"/>
  <cols>
    <col min="1" max="1" width="10.44140625" style="7" customWidth="1"/>
    <col min="2" max="2" width="23.44140625" style="7" customWidth="1"/>
    <col min="3" max="16384" width="9.109375" style="7"/>
  </cols>
  <sheetData>
    <row r="1" spans="1:2" x14ac:dyDescent="0.3">
      <c r="A1" s="375" t="s">
        <v>95</v>
      </c>
    </row>
    <row r="2" spans="1:2" x14ac:dyDescent="0.3">
      <c r="A2" s="8" t="s">
        <v>658</v>
      </c>
    </row>
    <row r="3" spans="1:2" x14ac:dyDescent="0.3">
      <c r="A3" s="35" t="s">
        <v>300</v>
      </c>
      <c r="B3" s="32" t="s">
        <v>625</v>
      </c>
    </row>
    <row r="4" spans="1:2" x14ac:dyDescent="0.3">
      <c r="A4" s="37" t="s">
        <v>99</v>
      </c>
      <c r="B4" s="33">
        <v>29</v>
      </c>
    </row>
    <row r="5" spans="1:2" x14ac:dyDescent="0.3">
      <c r="A5" s="37" t="s">
        <v>100</v>
      </c>
      <c r="B5" s="33">
        <v>16</v>
      </c>
    </row>
    <row r="6" spans="1:2" x14ac:dyDescent="0.3">
      <c r="A6" s="37" t="s">
        <v>101</v>
      </c>
      <c r="B6" s="33">
        <v>9</v>
      </c>
    </row>
    <row r="7" spans="1:2" x14ac:dyDescent="0.3">
      <c r="A7" s="471" t="s">
        <v>102</v>
      </c>
      <c r="B7" s="472">
        <v>7</v>
      </c>
    </row>
    <row r="8" spans="1:2" x14ac:dyDescent="0.3">
      <c r="A8" s="8"/>
    </row>
    <row r="9" spans="1:2" x14ac:dyDescent="0.3">
      <c r="A9" s="8"/>
    </row>
  </sheetData>
  <hyperlinks>
    <hyperlink ref="A1" location="Inhoud!A1" display="Terug naar inhoud" xr:uid="{2B61F4D8-04F5-4402-BB77-E9F407CDD25A}"/>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8D2DC-4114-4CAF-A1ED-A136FA7F47AB}">
  <sheetPr codeName="Blad45"/>
  <dimension ref="A1:F8"/>
  <sheetViews>
    <sheetView workbookViewId="0"/>
  </sheetViews>
  <sheetFormatPr defaultColWidth="9.109375" defaultRowHeight="14.4" x14ac:dyDescent="0.3"/>
  <cols>
    <col min="1" max="1" width="30.5546875" style="7" customWidth="1"/>
    <col min="2" max="4" width="14.44140625" style="7" customWidth="1"/>
    <col min="5" max="5" width="12.109375" style="7" customWidth="1"/>
    <col min="6" max="6" width="10.88671875" style="7" customWidth="1"/>
    <col min="7" max="16384" width="9.109375" style="7"/>
  </cols>
  <sheetData>
    <row r="1" spans="1:6" x14ac:dyDescent="0.3">
      <c r="A1" s="375" t="s">
        <v>95</v>
      </c>
    </row>
    <row r="2" spans="1:6" x14ac:dyDescent="0.3">
      <c r="A2" s="17" t="s">
        <v>657</v>
      </c>
    </row>
    <row r="3" spans="1:6" x14ac:dyDescent="0.3">
      <c r="A3" s="35" t="s">
        <v>300</v>
      </c>
      <c r="B3" s="32" t="s">
        <v>98</v>
      </c>
      <c r="C3" s="32" t="s">
        <v>99</v>
      </c>
      <c r="D3" s="32" t="s">
        <v>100</v>
      </c>
      <c r="E3" s="32" t="s">
        <v>101</v>
      </c>
      <c r="F3" s="32" t="s">
        <v>102</v>
      </c>
    </row>
    <row r="4" spans="1:6" x14ac:dyDescent="0.3">
      <c r="A4" s="53" t="s">
        <v>626</v>
      </c>
      <c r="B4" s="16">
        <v>965</v>
      </c>
      <c r="C4" s="16">
        <v>967</v>
      </c>
      <c r="D4" s="16">
        <v>976</v>
      </c>
      <c r="E4" s="16">
        <v>426</v>
      </c>
      <c r="F4" s="16">
        <v>968</v>
      </c>
    </row>
    <row r="5" spans="1:6" x14ac:dyDescent="0.3">
      <c r="A5" s="53" t="s">
        <v>627</v>
      </c>
      <c r="B5" s="16">
        <v>222</v>
      </c>
      <c r="C5" s="16">
        <v>251</v>
      </c>
      <c r="D5" s="16">
        <v>268</v>
      </c>
      <c r="E5" s="16">
        <v>102</v>
      </c>
      <c r="F5" s="16" t="s">
        <v>628</v>
      </c>
    </row>
    <row r="6" spans="1:6" x14ac:dyDescent="0.3">
      <c r="A6" s="53" t="s">
        <v>629</v>
      </c>
      <c r="B6" s="16">
        <v>62</v>
      </c>
      <c r="C6" s="16">
        <v>49</v>
      </c>
      <c r="D6" s="16">
        <v>182</v>
      </c>
      <c r="E6" s="16">
        <v>40</v>
      </c>
      <c r="F6" s="16">
        <v>45</v>
      </c>
    </row>
    <row r="7" spans="1:6" x14ac:dyDescent="0.3">
      <c r="A7" s="26" t="s">
        <v>630</v>
      </c>
    </row>
    <row r="8" spans="1:6" ht="179.4" x14ac:dyDescent="0.3">
      <c r="A8" s="388" t="s">
        <v>660</v>
      </c>
    </row>
  </sheetData>
  <hyperlinks>
    <hyperlink ref="A1" location="Inhoud!A1" display="Terug naar inhoud" xr:uid="{0040ABD3-FAAD-45E3-A14D-2CE71DBC1210}"/>
  </hyperlinks>
  <pageMargins left="0.7" right="0.7" top="0.75" bottom="0.75" header="0.3" footer="0.3"/>
  <pageSetup paperSize="9" orientation="portrait" horizontalDpi="360" verticalDpi="36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1F5E8-938D-437F-9338-F7E254AE71F6}">
  <sheetPr codeName="Blad46"/>
  <dimension ref="A1:E12"/>
  <sheetViews>
    <sheetView workbookViewId="0">
      <selection activeCell="A2" sqref="A2"/>
    </sheetView>
  </sheetViews>
  <sheetFormatPr defaultColWidth="9.109375" defaultRowHeight="14.4" x14ac:dyDescent="0.3"/>
  <cols>
    <col min="1" max="1" width="47" style="7" bestFit="1" customWidth="1"/>
    <col min="2" max="3" width="10.109375" style="7" customWidth="1"/>
    <col min="4" max="4" width="11.33203125" style="7" customWidth="1"/>
    <col min="5" max="5" width="11" style="7" customWidth="1"/>
    <col min="6" max="16384" width="9.109375" style="7"/>
  </cols>
  <sheetData>
    <row r="1" spans="1:5" x14ac:dyDescent="0.3">
      <c r="A1" s="375" t="s">
        <v>95</v>
      </c>
    </row>
    <row r="2" spans="1:5" s="8" customFormat="1" ht="15" customHeight="1" x14ac:dyDescent="0.3">
      <c r="A2" s="59" t="s">
        <v>656</v>
      </c>
    </row>
    <row r="3" spans="1:5" ht="15" customHeight="1" x14ac:dyDescent="0.3">
      <c r="A3" s="251"/>
      <c r="B3" s="250" t="s">
        <v>99</v>
      </c>
      <c r="C3" s="228" t="s">
        <v>100</v>
      </c>
      <c r="D3" s="228" t="s">
        <v>101</v>
      </c>
      <c r="E3" s="228" t="s">
        <v>102</v>
      </c>
    </row>
    <row r="4" spans="1:5" ht="15" customHeight="1" x14ac:dyDescent="0.3">
      <c r="A4" s="121" t="s">
        <v>631</v>
      </c>
      <c r="B4" s="57">
        <v>116</v>
      </c>
      <c r="C4" s="242">
        <v>116</v>
      </c>
      <c r="D4" s="242">
        <v>116</v>
      </c>
      <c r="E4" s="465">
        <v>116</v>
      </c>
    </row>
    <row r="5" spans="1:5" ht="15" customHeight="1" x14ac:dyDescent="0.3">
      <c r="A5" s="56" t="s">
        <v>632</v>
      </c>
      <c r="B5" s="57" t="s">
        <v>633</v>
      </c>
      <c r="C5" s="242" t="s">
        <v>634</v>
      </c>
      <c r="D5" s="242" t="s">
        <v>635</v>
      </c>
      <c r="E5" s="465" t="s">
        <v>636</v>
      </c>
    </row>
    <row r="6" spans="1:5" ht="15" customHeight="1" x14ac:dyDescent="0.3">
      <c r="A6" s="56" t="s">
        <v>637</v>
      </c>
      <c r="B6" s="57">
        <v>3</v>
      </c>
      <c r="C6" s="242">
        <v>1</v>
      </c>
      <c r="D6" s="242">
        <v>2</v>
      </c>
      <c r="E6" s="465">
        <v>2</v>
      </c>
    </row>
    <row r="7" spans="1:5" ht="15" customHeight="1" x14ac:dyDescent="0.3">
      <c r="A7" s="251"/>
      <c r="B7" s="250" t="s">
        <v>99</v>
      </c>
      <c r="C7" s="233" t="s">
        <v>100</v>
      </c>
      <c r="D7" s="233" t="s">
        <v>101</v>
      </c>
      <c r="E7" s="464" t="s">
        <v>102</v>
      </c>
    </row>
    <row r="8" spans="1:5" ht="15" customHeight="1" x14ac:dyDescent="0.3">
      <c r="A8" s="121" t="s">
        <v>638</v>
      </c>
      <c r="B8" s="57">
        <v>56</v>
      </c>
      <c r="C8" s="64">
        <v>61</v>
      </c>
      <c r="D8" s="64">
        <v>46</v>
      </c>
      <c r="E8" s="64">
        <v>46</v>
      </c>
    </row>
    <row r="9" spans="1:5" ht="15" customHeight="1" x14ac:dyDescent="0.3">
      <c r="A9" s="56" t="s">
        <v>627</v>
      </c>
      <c r="B9" s="57" t="s">
        <v>639</v>
      </c>
      <c r="C9" s="64">
        <v>10</v>
      </c>
      <c r="D9" s="64">
        <v>4</v>
      </c>
      <c r="E9" s="64" t="s">
        <v>640</v>
      </c>
    </row>
    <row r="10" spans="1:5" ht="15" customHeight="1" x14ac:dyDescent="0.3">
      <c r="A10" s="56" t="s">
        <v>641</v>
      </c>
      <c r="B10" s="57">
        <v>0</v>
      </c>
      <c r="C10" s="64">
        <v>0</v>
      </c>
      <c r="D10" s="64">
        <v>0</v>
      </c>
      <c r="E10" s="64">
        <v>0</v>
      </c>
    </row>
    <row r="11" spans="1:5" ht="15" customHeight="1" x14ac:dyDescent="0.3">
      <c r="A11" s="58" t="s">
        <v>642</v>
      </c>
    </row>
    <row r="12" spans="1:5" ht="15" customHeight="1" x14ac:dyDescent="0.3">
      <c r="A12" s="55"/>
    </row>
  </sheetData>
  <hyperlinks>
    <hyperlink ref="A1" location="Inhoud!A1" display="Terug naar inhoud" xr:uid="{64AF7E34-CBDB-44F1-AF04-231227F5866D}"/>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31BBE-CDC0-4A49-9938-B5B23042C020}">
  <sheetPr codeName="Blad47"/>
  <dimension ref="A1:F11"/>
  <sheetViews>
    <sheetView workbookViewId="0">
      <selection activeCell="D11" sqref="D11"/>
    </sheetView>
  </sheetViews>
  <sheetFormatPr defaultColWidth="9.109375" defaultRowHeight="14.4" x14ac:dyDescent="0.3"/>
  <cols>
    <col min="1" max="1" width="39.109375" style="7" customWidth="1"/>
    <col min="2" max="3" width="7.44140625" style="7" bestFit="1" customWidth="1"/>
    <col min="4" max="4" width="12.44140625" style="7" customWidth="1"/>
    <col min="5" max="5" width="10.5546875" style="7" customWidth="1"/>
    <col min="6" max="6" width="13" style="7" customWidth="1"/>
    <col min="7" max="16384" width="9.109375" style="7"/>
  </cols>
  <sheetData>
    <row r="1" spans="1:6" x14ac:dyDescent="0.3">
      <c r="A1" s="375" t="s">
        <v>95</v>
      </c>
    </row>
    <row r="2" spans="1:6" x14ac:dyDescent="0.3">
      <c r="A2" s="17" t="s">
        <v>655</v>
      </c>
    </row>
    <row r="3" spans="1:6" x14ac:dyDescent="0.3">
      <c r="A3" s="9" t="s">
        <v>643</v>
      </c>
      <c r="B3" s="10">
        <v>2018</v>
      </c>
      <c r="C3" s="18">
        <v>2019</v>
      </c>
      <c r="D3" s="127" t="s">
        <v>100</v>
      </c>
      <c r="E3" s="127" t="s">
        <v>101</v>
      </c>
      <c r="F3" s="127">
        <v>2022</v>
      </c>
    </row>
    <row r="4" spans="1:6" x14ac:dyDescent="0.3">
      <c r="A4" s="11" t="s">
        <v>441</v>
      </c>
      <c r="B4" s="20">
        <v>229</v>
      </c>
      <c r="C4" s="19" t="s">
        <v>185</v>
      </c>
      <c r="D4" s="16">
        <v>53</v>
      </c>
      <c r="E4" s="372">
        <v>2</v>
      </c>
      <c r="F4" s="16">
        <v>99</v>
      </c>
    </row>
    <row r="5" spans="1:6" x14ac:dyDescent="0.3">
      <c r="A5" s="11" t="s">
        <v>443</v>
      </c>
      <c r="B5" s="20">
        <v>5</v>
      </c>
      <c r="C5" s="19" t="s">
        <v>185</v>
      </c>
      <c r="D5" s="16">
        <v>0</v>
      </c>
      <c r="E5" s="372">
        <v>0</v>
      </c>
      <c r="F5" s="16">
        <v>3</v>
      </c>
    </row>
    <row r="6" spans="1:6" x14ac:dyDescent="0.3">
      <c r="A6" s="11" t="s">
        <v>136</v>
      </c>
      <c r="B6" s="20">
        <v>16</v>
      </c>
      <c r="C6" s="19" t="s">
        <v>185</v>
      </c>
      <c r="D6" s="16">
        <v>4</v>
      </c>
      <c r="E6" s="16">
        <v>6</v>
      </c>
      <c r="F6" s="16">
        <v>10</v>
      </c>
    </row>
    <row r="7" spans="1:6" ht="15" thickBot="1" x14ac:dyDescent="0.35">
      <c r="A7" s="1" t="s">
        <v>402</v>
      </c>
      <c r="B7" s="5">
        <v>88</v>
      </c>
      <c r="C7" s="4" t="s">
        <v>185</v>
      </c>
      <c r="D7" s="5">
        <v>24</v>
      </c>
      <c r="E7" s="5" t="s">
        <v>644</v>
      </c>
      <c r="F7" s="468">
        <v>63</v>
      </c>
    </row>
    <row r="8" spans="1:6" ht="15" thickBot="1" x14ac:dyDescent="0.35">
      <c r="A8" s="1" t="s">
        <v>645</v>
      </c>
      <c r="B8" s="5">
        <v>0</v>
      </c>
      <c r="C8" s="4" t="s">
        <v>185</v>
      </c>
      <c r="D8" s="5">
        <v>0</v>
      </c>
      <c r="E8" s="5" t="s">
        <v>644</v>
      </c>
      <c r="F8" s="468">
        <v>0</v>
      </c>
    </row>
    <row r="9" spans="1:6" ht="15" thickBot="1" x14ac:dyDescent="0.35">
      <c r="A9" s="1" t="s">
        <v>141</v>
      </c>
      <c r="B9" s="5">
        <v>1</v>
      </c>
      <c r="C9" s="4" t="s">
        <v>185</v>
      </c>
      <c r="D9" s="5">
        <v>0</v>
      </c>
      <c r="E9" s="5" t="s">
        <v>644</v>
      </c>
      <c r="F9" s="468">
        <v>1</v>
      </c>
    </row>
    <row r="10" spans="1:6" x14ac:dyDescent="0.3">
      <c r="A10" s="9" t="s">
        <v>113</v>
      </c>
      <c r="B10" s="10">
        <f>SUM(B4:B9)</f>
        <v>339</v>
      </c>
      <c r="C10" s="18" t="s">
        <v>185</v>
      </c>
      <c r="D10" s="127">
        <f>SUM(D4:D9)</f>
        <v>81</v>
      </c>
      <c r="E10" s="127">
        <f>SUM(E4:E9)</f>
        <v>8</v>
      </c>
      <c r="F10" s="127">
        <f>SUM(F4:F9)</f>
        <v>176</v>
      </c>
    </row>
    <row r="11" spans="1:6" x14ac:dyDescent="0.3">
      <c r="D11" s="34"/>
    </row>
  </sheetData>
  <hyperlinks>
    <hyperlink ref="A1" location="Inhoud!A1" display="Terug naar inhoud" xr:uid="{B92998D0-6FF3-411C-ABDF-4793EEC5C6F9}"/>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C92A5-C321-49BE-81C1-0CCA9C7CD81D}">
  <sheetPr codeName="Blad48"/>
  <dimension ref="A1:H6"/>
  <sheetViews>
    <sheetView workbookViewId="0"/>
  </sheetViews>
  <sheetFormatPr defaultRowHeight="14.4" x14ac:dyDescent="0.3"/>
  <cols>
    <col min="1" max="1" width="22.5546875" customWidth="1"/>
    <col min="2" max="2" width="13.6640625" customWidth="1"/>
    <col min="3" max="3" width="12.33203125" customWidth="1"/>
    <col min="4" max="4" width="12.5546875" customWidth="1"/>
    <col min="5" max="5" width="11.5546875" customWidth="1"/>
    <col min="6" max="6" width="13" customWidth="1"/>
    <col min="7" max="7" width="10.109375" customWidth="1"/>
  </cols>
  <sheetData>
    <row r="1" spans="1:8" x14ac:dyDescent="0.3">
      <c r="A1" s="375" t="s">
        <v>95</v>
      </c>
    </row>
    <row r="2" spans="1:8" x14ac:dyDescent="0.3">
      <c r="A2" s="607" t="s">
        <v>654</v>
      </c>
      <c r="B2" s="607"/>
      <c r="C2" s="607"/>
      <c r="D2" s="607"/>
    </row>
    <row r="3" spans="1:8" x14ac:dyDescent="0.3">
      <c r="A3" s="383"/>
      <c r="B3" s="384">
        <v>42767</v>
      </c>
      <c r="C3" s="384">
        <v>43132</v>
      </c>
      <c r="D3" s="384">
        <v>43497</v>
      </c>
      <c r="E3" s="122">
        <v>43862</v>
      </c>
      <c r="F3" s="122">
        <v>44228</v>
      </c>
      <c r="G3" s="469">
        <v>44593</v>
      </c>
    </row>
    <row r="4" spans="1:8" x14ac:dyDescent="0.3">
      <c r="A4" s="383" t="s">
        <v>646</v>
      </c>
      <c r="B4" s="123">
        <v>853042</v>
      </c>
      <c r="C4" s="123">
        <v>864328</v>
      </c>
      <c r="D4" s="123">
        <v>875253</v>
      </c>
      <c r="E4" s="123">
        <v>886315</v>
      </c>
      <c r="F4" s="123">
        <v>896243</v>
      </c>
      <c r="G4" s="437">
        <v>903650</v>
      </c>
      <c r="H4" s="227"/>
    </row>
    <row r="5" spans="1:8" x14ac:dyDescent="0.3">
      <c r="A5" s="383" t="s">
        <v>647</v>
      </c>
      <c r="B5" s="156" t="s">
        <v>648</v>
      </c>
      <c r="C5" s="156">
        <v>-19</v>
      </c>
      <c r="D5" s="156">
        <v>-17</v>
      </c>
      <c r="E5" s="116">
        <v>-23</v>
      </c>
      <c r="F5" s="116">
        <v>10</v>
      </c>
      <c r="G5" s="470">
        <v>29</v>
      </c>
    </row>
    <row r="6" spans="1:8" x14ac:dyDescent="0.3">
      <c r="A6" s="383" t="s">
        <v>649</v>
      </c>
      <c r="B6" s="123">
        <v>853012</v>
      </c>
      <c r="C6" s="123">
        <v>864309</v>
      </c>
      <c r="D6" s="123">
        <v>875236</v>
      </c>
      <c r="E6" s="123">
        <v>886292</v>
      </c>
      <c r="F6" s="123">
        <f>F4-F5</f>
        <v>896233</v>
      </c>
      <c r="G6" s="437">
        <f>G4-G5</f>
        <v>903621</v>
      </c>
    </row>
  </sheetData>
  <mergeCells count="1">
    <mergeCell ref="A2:D2"/>
  </mergeCells>
  <hyperlinks>
    <hyperlink ref="A1" location="Inhoud!A1" display="Terug naar inhoud" xr:uid="{94485799-F7FE-4EA8-A8BD-837BAD0B45AF}"/>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69A2-36CD-46B7-A03E-3FCD64301A1C}">
  <sheetPr codeName="Blad5"/>
  <dimension ref="A1:O23"/>
  <sheetViews>
    <sheetView workbookViewId="0">
      <selection activeCell="J5" sqref="J5"/>
    </sheetView>
  </sheetViews>
  <sheetFormatPr defaultColWidth="9.109375" defaultRowHeight="14.4" x14ac:dyDescent="0.3"/>
  <cols>
    <col min="1" max="1" width="6.88671875" style="34" customWidth="1"/>
    <col min="2" max="2" width="12.6640625" style="34" customWidth="1"/>
    <col min="3" max="3" width="5.5546875" style="34" bestFit="1" customWidth="1"/>
    <col min="4" max="4" width="12.6640625" style="34" customWidth="1"/>
    <col min="5" max="5" width="10.6640625" style="34" customWidth="1"/>
    <col min="6" max="6" width="12.6640625" style="34" customWidth="1"/>
    <col min="7" max="7" width="10.6640625" style="34" customWidth="1"/>
    <col min="8" max="8" width="12.6640625" style="34" customWidth="1"/>
    <col min="9" max="9" width="10.6640625" style="34" customWidth="1"/>
    <col min="10" max="10" width="13.109375" style="34" customWidth="1"/>
    <col min="11" max="11" width="10.6640625" style="34" customWidth="1"/>
    <col min="12" max="12" width="12" style="34" bestFit="1" customWidth="1"/>
    <col min="13" max="13" width="10.6640625" style="34" customWidth="1"/>
    <col min="14" max="14" width="12.6640625" style="34" customWidth="1"/>
    <col min="15" max="15" width="10.6640625" style="34" customWidth="1"/>
    <col min="16" max="16" width="9.109375" style="34"/>
    <col min="17" max="17" width="13.109375" style="34" customWidth="1"/>
    <col min="18" max="16384" width="9.109375" style="34"/>
  </cols>
  <sheetData>
    <row r="1" spans="1:15" x14ac:dyDescent="0.3">
      <c r="A1" s="375" t="s">
        <v>95</v>
      </c>
    </row>
    <row r="2" spans="1:15" x14ac:dyDescent="0.3">
      <c r="A2" s="60" t="s">
        <v>153</v>
      </c>
      <c r="B2" s="60"/>
      <c r="C2" s="60"/>
    </row>
    <row r="3" spans="1:15" x14ac:dyDescent="0.3">
      <c r="A3" s="482" t="s">
        <v>154</v>
      </c>
      <c r="B3" s="483"/>
      <c r="C3" s="483"/>
      <c r="D3" s="482"/>
      <c r="E3" s="482"/>
      <c r="F3" s="482"/>
      <c r="G3" s="482"/>
      <c r="H3" s="482"/>
      <c r="I3" s="482"/>
      <c r="J3" s="482"/>
      <c r="K3" s="482"/>
      <c r="L3" s="482"/>
      <c r="M3" s="482"/>
      <c r="N3" s="482"/>
    </row>
    <row r="4" spans="1:15" x14ac:dyDescent="0.3">
      <c r="A4" s="144"/>
      <c r="B4" s="486" t="s">
        <v>97</v>
      </c>
      <c r="C4" s="486"/>
      <c r="D4" s="484" t="s">
        <v>98</v>
      </c>
      <c r="E4" s="482"/>
      <c r="F4" s="482" t="s">
        <v>99</v>
      </c>
      <c r="G4" s="482"/>
      <c r="H4" s="482" t="s">
        <v>100</v>
      </c>
      <c r="I4" s="482"/>
      <c r="J4" s="487" t="s">
        <v>101</v>
      </c>
      <c r="K4" s="484"/>
      <c r="L4" s="487" t="s">
        <v>102</v>
      </c>
      <c r="M4" s="484"/>
      <c r="N4" s="485" t="s">
        <v>116</v>
      </c>
    </row>
    <row r="5" spans="1:15" ht="72" x14ac:dyDescent="0.3">
      <c r="A5" s="144"/>
      <c r="B5" s="231" t="s">
        <v>155</v>
      </c>
      <c r="C5" s="149" t="s">
        <v>118</v>
      </c>
      <c r="D5" s="147" t="s">
        <v>155</v>
      </c>
      <c r="E5" s="230" t="s">
        <v>118</v>
      </c>
      <c r="F5" s="232" t="s">
        <v>155</v>
      </c>
      <c r="G5" s="230" t="s">
        <v>118</v>
      </c>
      <c r="H5" s="232" t="s">
        <v>155</v>
      </c>
      <c r="I5" s="230" t="s">
        <v>118</v>
      </c>
      <c r="J5" s="230" t="s">
        <v>155</v>
      </c>
      <c r="K5" s="230" t="s">
        <v>118</v>
      </c>
      <c r="L5" s="230" t="s">
        <v>155</v>
      </c>
      <c r="M5" s="230" t="s">
        <v>118</v>
      </c>
      <c r="N5" s="485"/>
    </row>
    <row r="6" spans="1:15" x14ac:dyDescent="0.3">
      <c r="A6" s="145" t="s">
        <v>156</v>
      </c>
      <c r="B6" s="142">
        <v>76255000</v>
      </c>
      <c r="C6" s="19">
        <v>392</v>
      </c>
      <c r="D6" s="241">
        <v>79362000</v>
      </c>
      <c r="E6" s="242">
        <v>396</v>
      </c>
      <c r="F6" s="243">
        <v>82168000</v>
      </c>
      <c r="G6" s="242">
        <v>401</v>
      </c>
      <c r="H6" s="243">
        <v>96990000</v>
      </c>
      <c r="I6" s="242">
        <v>408</v>
      </c>
      <c r="J6" s="243">
        <v>98261000</v>
      </c>
      <c r="K6" s="242">
        <v>419</v>
      </c>
      <c r="L6" s="243">
        <v>100592000</v>
      </c>
      <c r="M6" s="242">
        <v>429</v>
      </c>
      <c r="N6" s="244">
        <f>(L6-J6)/J6</f>
        <v>2.3722534881590866E-2</v>
      </c>
      <c r="O6" s="109"/>
    </row>
    <row r="7" spans="1:15" x14ac:dyDescent="0.3">
      <c r="A7" s="145" t="s">
        <v>157</v>
      </c>
      <c r="B7" s="142">
        <v>276821338</v>
      </c>
      <c r="C7" s="142">
        <v>1490</v>
      </c>
      <c r="D7" s="241">
        <v>283773925</v>
      </c>
      <c r="E7" s="243">
        <v>1493</v>
      </c>
      <c r="F7" s="243">
        <v>288475736</v>
      </c>
      <c r="G7" s="243">
        <v>1499</v>
      </c>
      <c r="H7" s="243">
        <v>336231428</v>
      </c>
      <c r="I7" s="243">
        <v>1507</v>
      </c>
      <c r="J7" s="243">
        <v>340377882</v>
      </c>
      <c r="K7" s="243">
        <v>1524</v>
      </c>
      <c r="L7" s="243">
        <v>340726764</v>
      </c>
      <c r="M7" s="243">
        <v>1529</v>
      </c>
      <c r="N7" s="244">
        <f t="shared" ref="N7:N9" si="0">(L7-J7)/J7</f>
        <v>1.0557119572181838E-3</v>
      </c>
      <c r="O7" s="109"/>
    </row>
    <row r="8" spans="1:15" x14ac:dyDescent="0.3">
      <c r="A8" s="145" t="s">
        <v>158</v>
      </c>
      <c r="B8" s="142">
        <v>108561669</v>
      </c>
      <c r="C8" s="19">
        <v>536</v>
      </c>
      <c r="D8" s="241">
        <v>111574916</v>
      </c>
      <c r="E8" s="242">
        <v>539</v>
      </c>
      <c r="F8" s="243">
        <v>113713899</v>
      </c>
      <c r="G8" s="242">
        <v>545</v>
      </c>
      <c r="H8" s="243">
        <v>131144122</v>
      </c>
      <c r="I8" s="242">
        <v>547</v>
      </c>
      <c r="J8" s="243">
        <v>132063090</v>
      </c>
      <c r="K8" s="243">
        <v>550</v>
      </c>
      <c r="L8" s="243">
        <v>131042294.93000001</v>
      </c>
      <c r="M8" s="243">
        <v>545</v>
      </c>
      <c r="N8" s="244">
        <f t="shared" si="0"/>
        <v>-7.7296015866355457E-3</v>
      </c>
      <c r="O8" s="109"/>
    </row>
    <row r="9" spans="1:15" x14ac:dyDescent="0.3">
      <c r="A9" s="146" t="s">
        <v>113</v>
      </c>
      <c r="B9" s="143">
        <v>461638007</v>
      </c>
      <c r="C9" s="143">
        <v>2418</v>
      </c>
      <c r="D9" s="148">
        <v>474710841</v>
      </c>
      <c r="E9" s="89">
        <v>2428</v>
      </c>
      <c r="F9" s="89">
        <v>484357635</v>
      </c>
      <c r="G9" s="89">
        <v>2445</v>
      </c>
      <c r="H9" s="89">
        <v>564365550</v>
      </c>
      <c r="I9" s="89">
        <v>2462</v>
      </c>
      <c r="J9" s="89">
        <f>SUM(J6:J8)</f>
        <v>570701972</v>
      </c>
      <c r="K9" s="89">
        <f>SUM(K6:K8)</f>
        <v>2493</v>
      </c>
      <c r="L9" s="89">
        <f t="shared" ref="L9:M9" si="1">SUM(L6:L8)</f>
        <v>572371517.93000007</v>
      </c>
      <c r="M9" s="89">
        <f t="shared" si="1"/>
        <v>2503</v>
      </c>
      <c r="N9" s="67">
        <f t="shared" si="0"/>
        <v>2.9254251989864629E-3</v>
      </c>
      <c r="O9" s="109"/>
    </row>
    <row r="10" spans="1:15" x14ac:dyDescent="0.3">
      <c r="A10" s="482" t="s">
        <v>159</v>
      </c>
      <c r="B10" s="488"/>
      <c r="C10" s="488"/>
      <c r="D10" s="482"/>
      <c r="E10" s="482"/>
      <c r="F10" s="482"/>
      <c r="G10" s="482"/>
      <c r="H10" s="482"/>
      <c r="I10" s="482"/>
      <c r="J10" s="482"/>
      <c r="K10" s="482"/>
      <c r="L10" s="482"/>
      <c r="M10" s="482"/>
      <c r="N10" s="482"/>
      <c r="O10" s="109"/>
    </row>
    <row r="11" spans="1:15" x14ac:dyDescent="0.3">
      <c r="A11" s="144"/>
      <c r="B11" s="486" t="s">
        <v>97</v>
      </c>
      <c r="C11" s="486"/>
      <c r="D11" s="484" t="s">
        <v>98</v>
      </c>
      <c r="E11" s="482"/>
      <c r="F11" s="482" t="s">
        <v>99</v>
      </c>
      <c r="G11" s="482"/>
      <c r="H11" s="482" t="s">
        <v>160</v>
      </c>
      <c r="I11" s="482"/>
      <c r="J11" s="487" t="s">
        <v>101</v>
      </c>
      <c r="K11" s="484"/>
      <c r="L11" s="487" t="s">
        <v>102</v>
      </c>
      <c r="M11" s="484"/>
      <c r="N11" s="485" t="s">
        <v>116</v>
      </c>
      <c r="O11" s="109"/>
    </row>
    <row r="12" spans="1:15" ht="72" x14ac:dyDescent="0.3">
      <c r="A12" s="144"/>
      <c r="B12" s="231" t="s">
        <v>155</v>
      </c>
      <c r="C12" s="149" t="s">
        <v>118</v>
      </c>
      <c r="D12" s="147" t="s">
        <v>155</v>
      </c>
      <c r="E12" s="230" t="s">
        <v>118</v>
      </c>
      <c r="F12" s="232" t="s">
        <v>155</v>
      </c>
      <c r="G12" s="230" t="s">
        <v>118</v>
      </c>
      <c r="H12" s="232" t="s">
        <v>155</v>
      </c>
      <c r="I12" s="230" t="s">
        <v>118</v>
      </c>
      <c r="J12" s="232" t="s">
        <v>155</v>
      </c>
      <c r="K12" s="230" t="s">
        <v>118</v>
      </c>
      <c r="L12" s="232" t="s">
        <v>155</v>
      </c>
      <c r="M12" s="230" t="s">
        <v>118</v>
      </c>
      <c r="N12" s="485"/>
      <c r="O12" s="109"/>
    </row>
    <row r="13" spans="1:15" x14ac:dyDescent="0.3">
      <c r="A13" s="145" t="s">
        <v>156</v>
      </c>
      <c r="B13" s="142">
        <v>8780000</v>
      </c>
      <c r="C13" s="19">
        <v>36</v>
      </c>
      <c r="D13" s="241">
        <v>8705000</v>
      </c>
      <c r="E13" s="242">
        <v>36</v>
      </c>
      <c r="F13" s="243">
        <v>8850000</v>
      </c>
      <c r="G13" s="242">
        <v>36</v>
      </c>
      <c r="H13" s="243">
        <v>9447000</v>
      </c>
      <c r="I13" s="242">
        <v>36</v>
      </c>
      <c r="J13" s="243">
        <v>9740000</v>
      </c>
      <c r="K13" s="242">
        <v>36</v>
      </c>
      <c r="L13" s="243">
        <v>10183000</v>
      </c>
      <c r="M13" s="242">
        <v>35</v>
      </c>
      <c r="N13" s="244">
        <v>4.548254620123203E-2</v>
      </c>
      <c r="O13" s="109"/>
    </row>
    <row r="14" spans="1:15" x14ac:dyDescent="0.3">
      <c r="A14" s="145" t="s">
        <v>157</v>
      </c>
      <c r="B14" s="142">
        <v>20437662</v>
      </c>
      <c r="C14" s="19">
        <v>128</v>
      </c>
      <c r="D14" s="241">
        <v>20824068</v>
      </c>
      <c r="E14" s="242">
        <v>128</v>
      </c>
      <c r="F14" s="243">
        <v>21006160</v>
      </c>
      <c r="G14" s="242">
        <v>128</v>
      </c>
      <c r="H14" s="243">
        <v>22236727</v>
      </c>
      <c r="I14" s="242">
        <v>128</v>
      </c>
      <c r="J14" s="243">
        <v>22798552</v>
      </c>
      <c r="K14" s="242">
        <v>129</v>
      </c>
      <c r="L14" s="243">
        <v>23172065</v>
      </c>
      <c r="M14" s="242">
        <v>130</v>
      </c>
      <c r="N14" s="244">
        <v>1.6383189599058746E-2</v>
      </c>
      <c r="O14" s="109"/>
    </row>
    <row r="15" spans="1:15" x14ac:dyDescent="0.3">
      <c r="A15" s="145" t="s">
        <v>158</v>
      </c>
      <c r="B15" s="142">
        <v>5513965</v>
      </c>
      <c r="C15" s="19">
        <v>36</v>
      </c>
      <c r="D15" s="241">
        <v>5577262</v>
      </c>
      <c r="E15" s="242">
        <v>36</v>
      </c>
      <c r="F15" s="243">
        <v>5687788</v>
      </c>
      <c r="G15" s="242">
        <v>35</v>
      </c>
      <c r="H15" s="243">
        <v>5905011</v>
      </c>
      <c r="I15" s="242">
        <v>35</v>
      </c>
      <c r="J15" s="243">
        <v>6015827</v>
      </c>
      <c r="K15" s="242">
        <v>35</v>
      </c>
      <c r="L15" s="243">
        <v>5828988</v>
      </c>
      <c r="M15" s="242">
        <v>34</v>
      </c>
      <c r="N15" s="244">
        <v>-3.1057907749009406E-2</v>
      </c>
      <c r="O15" s="109"/>
    </row>
    <row r="16" spans="1:15" x14ac:dyDescent="0.3">
      <c r="A16" s="146" t="s">
        <v>113</v>
      </c>
      <c r="B16" s="143">
        <v>34731627</v>
      </c>
      <c r="C16" s="18">
        <v>200</v>
      </c>
      <c r="D16" s="148">
        <v>35106330</v>
      </c>
      <c r="E16" s="232">
        <v>200</v>
      </c>
      <c r="F16" s="89">
        <v>35543948</v>
      </c>
      <c r="G16" s="232">
        <v>199</v>
      </c>
      <c r="H16" s="89">
        <v>37588738</v>
      </c>
      <c r="I16" s="232">
        <v>199</v>
      </c>
      <c r="J16" s="89">
        <f>SUM(J13:J15)</f>
        <v>38554379</v>
      </c>
      <c r="K16" s="232">
        <f>SUM(K13:K15)</f>
        <v>200</v>
      </c>
      <c r="L16" s="89">
        <v>39184053</v>
      </c>
      <c r="M16" s="232">
        <v>199</v>
      </c>
      <c r="N16" s="67">
        <v>1.6332100693412802E-2</v>
      </c>
      <c r="O16" s="109"/>
    </row>
    <row r="17" spans="1:3" x14ac:dyDescent="0.3">
      <c r="A17" s="88" t="s">
        <v>161</v>
      </c>
      <c r="B17" s="88"/>
      <c r="C17" s="88"/>
    </row>
    <row r="18" spans="1:3" x14ac:dyDescent="0.3">
      <c r="A18" s="88" t="s">
        <v>162</v>
      </c>
      <c r="B18" s="88"/>
      <c r="C18" s="88"/>
    </row>
    <row r="19" spans="1:3" x14ac:dyDescent="0.3">
      <c r="A19" s="87"/>
      <c r="B19" s="87"/>
      <c r="C19" s="87"/>
    </row>
    <row r="20" spans="1:3" x14ac:dyDescent="0.3">
      <c r="A20" s="90"/>
      <c r="B20" s="90"/>
      <c r="C20" s="90"/>
    </row>
    <row r="21" spans="1:3" x14ac:dyDescent="0.3">
      <c r="A21" s="85"/>
      <c r="B21" s="85"/>
      <c r="C21" s="85"/>
    </row>
    <row r="22" spans="1:3" x14ac:dyDescent="0.3">
      <c r="A22" s="85"/>
      <c r="B22" s="85"/>
      <c r="C22" s="85"/>
    </row>
    <row r="23" spans="1:3" x14ac:dyDescent="0.3">
      <c r="A23" s="90"/>
      <c r="B23" s="90"/>
      <c r="C23" s="90"/>
    </row>
  </sheetData>
  <mergeCells count="16">
    <mergeCell ref="A10:N10"/>
    <mergeCell ref="D11:E11"/>
    <mergeCell ref="F11:G11"/>
    <mergeCell ref="H11:I11"/>
    <mergeCell ref="N11:N12"/>
    <mergeCell ref="B11:C11"/>
    <mergeCell ref="J11:K11"/>
    <mergeCell ref="L11:M11"/>
    <mergeCell ref="A3:N3"/>
    <mergeCell ref="D4:E4"/>
    <mergeCell ref="F4:G4"/>
    <mergeCell ref="H4:I4"/>
    <mergeCell ref="N4:N5"/>
    <mergeCell ref="B4:C4"/>
    <mergeCell ref="J4:K4"/>
    <mergeCell ref="L4:M4"/>
  </mergeCells>
  <hyperlinks>
    <hyperlink ref="A1" location="Inhoud!A1" display="Terug naar inhoud" xr:uid="{AB3C51F7-DDC7-472C-8207-904A54B54D5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BAE2D-3AB6-44D9-B962-7D23D5DACF18}">
  <sheetPr codeName="Blad6"/>
  <dimension ref="A1:N76"/>
  <sheetViews>
    <sheetView workbookViewId="0">
      <selection activeCell="G10" sqref="G10"/>
    </sheetView>
  </sheetViews>
  <sheetFormatPr defaultColWidth="9.109375" defaultRowHeight="14.4" x14ac:dyDescent="0.3"/>
  <cols>
    <col min="1" max="1" width="6.44140625" style="34" bestFit="1" customWidth="1"/>
    <col min="2" max="2" width="11.5546875" style="34" bestFit="1" customWidth="1"/>
    <col min="3" max="3" width="16.88671875" style="34" bestFit="1" customWidth="1"/>
    <col min="4" max="4" width="21.109375" style="34" bestFit="1" customWidth="1"/>
    <col min="5" max="5" width="11.44140625" style="34" bestFit="1" customWidth="1"/>
    <col min="6" max="6" width="21.88671875" style="34" customWidth="1"/>
    <col min="7" max="7" width="22.33203125" style="34" customWidth="1"/>
    <col min="8" max="8" width="36.6640625" style="34" bestFit="1" customWidth="1"/>
    <col min="9" max="9" width="11.5546875" style="34" customWidth="1"/>
    <col min="10" max="12" width="9.109375" style="34"/>
    <col min="13" max="13" width="16" style="34" customWidth="1"/>
    <col min="14" max="16384" width="9.109375" style="34"/>
  </cols>
  <sheetData>
    <row r="1" spans="1:8" x14ac:dyDescent="0.3">
      <c r="A1" s="375" t="s">
        <v>95</v>
      </c>
    </row>
    <row r="2" spans="1:8" x14ac:dyDescent="0.3">
      <c r="A2" s="74" t="s">
        <v>163</v>
      </c>
      <c r="H2" s="258"/>
    </row>
    <row r="3" spans="1:8" x14ac:dyDescent="0.3">
      <c r="A3" s="74"/>
      <c r="H3" s="258"/>
    </row>
    <row r="4" spans="1:8" x14ac:dyDescent="0.3">
      <c r="A4" s="482" t="s">
        <v>164</v>
      </c>
      <c r="B4" s="482"/>
      <c r="C4" s="482"/>
      <c r="D4" s="482"/>
      <c r="E4" s="482"/>
      <c r="F4" s="482"/>
    </row>
    <row r="5" spans="1:8" x14ac:dyDescent="0.3">
      <c r="A5" s="489"/>
      <c r="B5" s="490" t="s">
        <v>165</v>
      </c>
      <c r="C5" s="490" t="s">
        <v>166</v>
      </c>
      <c r="D5" s="482" t="s">
        <v>167</v>
      </c>
      <c r="E5" s="482"/>
      <c r="F5" s="490" t="s">
        <v>113</v>
      </c>
    </row>
    <row r="6" spans="1:8" x14ac:dyDescent="0.3">
      <c r="A6" s="489"/>
      <c r="B6" s="490"/>
      <c r="C6" s="490"/>
      <c r="D6" s="228" t="s">
        <v>168</v>
      </c>
      <c r="E6" s="228" t="s">
        <v>169</v>
      </c>
      <c r="F6" s="490"/>
    </row>
    <row r="7" spans="1:8" x14ac:dyDescent="0.3">
      <c r="A7" s="64"/>
      <c r="B7" s="230" t="s">
        <v>155</v>
      </c>
      <c r="C7" s="230" t="s">
        <v>155</v>
      </c>
      <c r="D7" s="232" t="s">
        <v>155</v>
      </c>
      <c r="E7" s="232" t="s">
        <v>155</v>
      </c>
      <c r="F7" s="230" t="s">
        <v>155</v>
      </c>
    </row>
    <row r="8" spans="1:8" x14ac:dyDescent="0.3">
      <c r="A8" s="242" t="s">
        <v>170</v>
      </c>
      <c r="B8" s="243">
        <v>77241000</v>
      </c>
      <c r="C8" s="243">
        <v>18352000</v>
      </c>
      <c r="D8" s="243">
        <v>2273000</v>
      </c>
      <c r="E8" s="243">
        <v>2726000</v>
      </c>
      <c r="F8" s="89">
        <f>SUM(B8:E8)</f>
        <v>100592000</v>
      </c>
    </row>
    <row r="9" spans="1:8" x14ac:dyDescent="0.3">
      <c r="A9" s="242" t="s">
        <v>157</v>
      </c>
      <c r="B9" s="243">
        <f>293137015-10458.14</f>
        <v>293126556.86000001</v>
      </c>
      <c r="C9" s="243">
        <v>47600213</v>
      </c>
      <c r="D9" s="34">
        <v>0</v>
      </c>
      <c r="E9" s="243">
        <v>0</v>
      </c>
      <c r="F9" s="89">
        <f t="shared" ref="F9:F10" si="0">SUM(B9:E9)</f>
        <v>340726769.86000001</v>
      </c>
      <c r="G9" s="395"/>
      <c r="H9" s="396"/>
    </row>
    <row r="10" spans="1:8" x14ac:dyDescent="0.3">
      <c r="A10" s="242" t="s">
        <v>158</v>
      </c>
      <c r="B10" s="243">
        <v>106997981</v>
      </c>
      <c r="C10" s="243">
        <v>20848419</v>
      </c>
      <c r="D10" s="243">
        <v>3195895</v>
      </c>
      <c r="E10" s="243">
        <v>0</v>
      </c>
      <c r="F10" s="89">
        <f t="shared" si="0"/>
        <v>131042295</v>
      </c>
      <c r="G10" s="395"/>
      <c r="H10" s="396"/>
    </row>
    <row r="11" spans="1:8" x14ac:dyDescent="0.3">
      <c r="A11" s="232" t="s">
        <v>113</v>
      </c>
      <c r="B11" s="89">
        <v>477375996</v>
      </c>
      <c r="C11" s="89">
        <f t="shared" ref="C11:E11" si="1">SUM(C8:C10)</f>
        <v>86800632</v>
      </c>
      <c r="D11" s="89">
        <f t="shared" si="1"/>
        <v>5468895</v>
      </c>
      <c r="E11" s="89">
        <f t="shared" si="1"/>
        <v>2726000</v>
      </c>
      <c r="F11" s="89">
        <f>SUM(F8:F10)</f>
        <v>572361064.86000001</v>
      </c>
    </row>
    <row r="12" spans="1:8" x14ac:dyDescent="0.3">
      <c r="A12" s="482" t="s">
        <v>171</v>
      </c>
      <c r="B12" s="482"/>
      <c r="C12" s="482"/>
      <c r="D12" s="482"/>
      <c r="E12" s="482"/>
      <c r="F12" s="482"/>
    </row>
    <row r="13" spans="1:8" x14ac:dyDescent="0.3">
      <c r="A13" s="489"/>
      <c r="B13" s="490" t="s">
        <v>165</v>
      </c>
      <c r="C13" s="490" t="s">
        <v>166</v>
      </c>
      <c r="D13" s="482" t="s">
        <v>167</v>
      </c>
      <c r="E13" s="482"/>
      <c r="F13" s="490" t="s">
        <v>113</v>
      </c>
    </row>
    <row r="14" spans="1:8" ht="14.4" customHeight="1" x14ac:dyDescent="0.3">
      <c r="A14" s="489"/>
      <c r="B14" s="490"/>
      <c r="C14" s="490"/>
      <c r="D14" s="228" t="s">
        <v>168</v>
      </c>
      <c r="E14" s="228" t="s">
        <v>169</v>
      </c>
      <c r="F14" s="490"/>
    </row>
    <row r="15" spans="1:8" x14ac:dyDescent="0.3">
      <c r="A15" s="64"/>
      <c r="B15" s="230" t="s">
        <v>155</v>
      </c>
      <c r="C15" s="230" t="s">
        <v>155</v>
      </c>
      <c r="D15" s="232" t="s">
        <v>155</v>
      </c>
      <c r="E15" s="232" t="s">
        <v>155</v>
      </c>
      <c r="F15" s="230" t="s">
        <v>155</v>
      </c>
    </row>
    <row r="16" spans="1:8" x14ac:dyDescent="0.3">
      <c r="A16" s="242" t="s">
        <v>170</v>
      </c>
      <c r="B16" s="243">
        <v>9562000</v>
      </c>
      <c r="C16" s="291" t="s">
        <v>172</v>
      </c>
      <c r="D16" s="243">
        <v>283000</v>
      </c>
      <c r="E16" s="243">
        <v>338000</v>
      </c>
      <c r="F16" s="89">
        <f>SUM(B16:E16)</f>
        <v>10183000</v>
      </c>
    </row>
    <row r="17" spans="1:14" x14ac:dyDescent="0.3">
      <c r="A17" s="242" t="s">
        <v>157</v>
      </c>
      <c r="B17" s="243">
        <v>23172065</v>
      </c>
      <c r="C17" s="291" t="s">
        <v>172</v>
      </c>
      <c r="D17" s="242">
        <v>0</v>
      </c>
      <c r="E17" s="242">
        <v>0</v>
      </c>
      <c r="F17" s="89">
        <f t="shared" ref="F17:F18" si="2">SUM(B17:E17)</f>
        <v>23172065</v>
      </c>
    </row>
    <row r="18" spans="1:14" x14ac:dyDescent="0.3">
      <c r="A18" s="242" t="s">
        <v>158</v>
      </c>
      <c r="B18" s="243">
        <v>5621742</v>
      </c>
      <c r="C18" s="291" t="s">
        <v>172</v>
      </c>
      <c r="D18" s="243">
        <v>207246</v>
      </c>
      <c r="E18" s="242">
        <v>0</v>
      </c>
      <c r="F18" s="89">
        <f t="shared" si="2"/>
        <v>5828988</v>
      </c>
    </row>
    <row r="19" spans="1:14" x14ac:dyDescent="0.3">
      <c r="A19" s="232" t="s">
        <v>113</v>
      </c>
      <c r="B19" s="89">
        <v>38355807</v>
      </c>
      <c r="C19" s="292" t="s">
        <v>172</v>
      </c>
      <c r="D19" s="89">
        <f t="shared" ref="D19:E19" si="3">SUM(D16:D18)</f>
        <v>490246</v>
      </c>
      <c r="E19" s="89">
        <f t="shared" si="3"/>
        <v>338000</v>
      </c>
      <c r="F19" s="89">
        <f>SUM(F16:F18)</f>
        <v>39184053</v>
      </c>
    </row>
    <row r="20" spans="1:14" x14ac:dyDescent="0.3">
      <c r="A20" s="88" t="s">
        <v>173</v>
      </c>
      <c r="B20" s="377"/>
      <c r="C20" s="378"/>
      <c r="D20" s="377"/>
      <c r="E20" s="377"/>
      <c r="F20" s="377"/>
    </row>
    <row r="21" spans="1:14" x14ac:dyDescent="0.3">
      <c r="A21" s="74"/>
    </row>
    <row r="22" spans="1:14" x14ac:dyDescent="0.3">
      <c r="A22" s="482" t="s">
        <v>174</v>
      </c>
      <c r="B22" s="482"/>
      <c r="C22" s="482"/>
      <c r="D22" s="482"/>
      <c r="E22" s="482"/>
      <c r="F22" s="482"/>
    </row>
    <row r="23" spans="1:14" x14ac:dyDescent="0.3">
      <c r="A23" s="489"/>
      <c r="B23" s="490" t="s">
        <v>165</v>
      </c>
      <c r="C23" s="490" t="s">
        <v>166</v>
      </c>
      <c r="D23" s="482" t="s">
        <v>167</v>
      </c>
      <c r="E23" s="482"/>
      <c r="F23" s="490" t="s">
        <v>113</v>
      </c>
    </row>
    <row r="24" spans="1:14" x14ac:dyDescent="0.3">
      <c r="A24" s="489"/>
      <c r="B24" s="490"/>
      <c r="C24" s="490"/>
      <c r="D24" s="228" t="s">
        <v>168</v>
      </c>
      <c r="E24" s="228" t="s">
        <v>169</v>
      </c>
      <c r="F24" s="490"/>
      <c r="H24" s="7"/>
      <c r="I24" s="7"/>
      <c r="J24" s="7"/>
      <c r="K24" s="7"/>
      <c r="L24" s="7"/>
      <c r="M24" s="7"/>
    </row>
    <row r="25" spans="1:14" x14ac:dyDescent="0.3">
      <c r="A25" s="64"/>
      <c r="B25" s="230" t="s">
        <v>155</v>
      </c>
      <c r="C25" s="230" t="s">
        <v>155</v>
      </c>
      <c r="D25" s="232" t="s">
        <v>155</v>
      </c>
      <c r="E25" s="232" t="s">
        <v>155</v>
      </c>
      <c r="F25" s="230" t="s">
        <v>155</v>
      </c>
      <c r="H25" s="7"/>
      <c r="I25" s="7"/>
      <c r="J25" s="7"/>
      <c r="K25" s="7"/>
      <c r="L25" s="7"/>
      <c r="M25" s="7"/>
      <c r="N25" s="258"/>
    </row>
    <row r="26" spans="1:14" ht="14.4" customHeight="1" x14ac:dyDescent="0.3">
      <c r="A26" s="242" t="s">
        <v>170</v>
      </c>
      <c r="B26" s="243">
        <f>74991000-321000+628000</f>
        <v>75298000</v>
      </c>
      <c r="C26" s="243">
        <v>18091000</v>
      </c>
      <c r="D26" s="243">
        <v>2210000</v>
      </c>
      <c r="E26" s="243">
        <v>2662000</v>
      </c>
      <c r="F26" s="89">
        <f>SUM(B26:E26)</f>
        <v>98261000</v>
      </c>
      <c r="H26" s="7"/>
      <c r="I26" s="7"/>
      <c r="J26" s="7"/>
      <c r="K26" s="7"/>
      <c r="L26" s="7"/>
      <c r="M26" s="7"/>
    </row>
    <row r="27" spans="1:14" x14ac:dyDescent="0.3">
      <c r="A27" s="242" t="s">
        <v>157</v>
      </c>
      <c r="B27" s="243">
        <f>289283893+3679917</f>
        <v>292963810</v>
      </c>
      <c r="C27" s="243">
        <v>47413990</v>
      </c>
      <c r="D27" s="34">
        <v>0</v>
      </c>
      <c r="E27" s="243">
        <v>0</v>
      </c>
      <c r="F27" s="89">
        <f t="shared" ref="F27:F28" si="4">SUM(B27:E27)</f>
        <v>340377800</v>
      </c>
      <c r="H27" s="7"/>
      <c r="I27" s="7"/>
      <c r="J27" s="7"/>
      <c r="K27" s="7"/>
      <c r="L27" s="7"/>
      <c r="M27" s="7"/>
    </row>
    <row r="28" spans="1:14" x14ac:dyDescent="0.3">
      <c r="A28" s="242" t="s">
        <v>158</v>
      </c>
      <c r="B28" s="243">
        <v>107775739</v>
      </c>
      <c r="C28" s="243">
        <v>21084594</v>
      </c>
      <c r="D28" s="243">
        <v>3203000</v>
      </c>
      <c r="E28" s="243">
        <v>0</v>
      </c>
      <c r="F28" s="89">
        <f t="shared" si="4"/>
        <v>132063333</v>
      </c>
      <c r="H28" s="7"/>
      <c r="I28" s="7"/>
      <c r="J28" s="7"/>
      <c r="K28" s="7"/>
      <c r="L28" s="7"/>
      <c r="M28" s="7"/>
    </row>
    <row r="29" spans="1:14" x14ac:dyDescent="0.3">
      <c r="A29" s="232" t="s">
        <v>113</v>
      </c>
      <c r="B29" s="89">
        <f>SUM(B26:B28)</f>
        <v>476037549</v>
      </c>
      <c r="C29" s="89">
        <f>SUM(C26:C28)</f>
        <v>86589584</v>
      </c>
      <c r="D29" s="89">
        <f t="shared" ref="D29:F29" si="5">SUM(D26:D28)</f>
        <v>5413000</v>
      </c>
      <c r="E29" s="89">
        <f t="shared" si="5"/>
        <v>2662000</v>
      </c>
      <c r="F29" s="89">
        <f t="shared" si="5"/>
        <v>570702133</v>
      </c>
      <c r="H29" s="7"/>
      <c r="I29" s="7"/>
      <c r="J29" s="7"/>
      <c r="K29" s="7"/>
      <c r="L29" s="7"/>
      <c r="M29" s="7"/>
    </row>
    <row r="30" spans="1:14" x14ac:dyDescent="0.3">
      <c r="A30" s="482" t="s">
        <v>175</v>
      </c>
      <c r="B30" s="482"/>
      <c r="C30" s="482"/>
      <c r="D30" s="482"/>
      <c r="E30" s="482"/>
      <c r="F30" s="482"/>
      <c r="H30" s="7"/>
      <c r="I30" s="7"/>
      <c r="J30" s="7"/>
      <c r="K30" s="7"/>
      <c r="L30" s="7"/>
      <c r="M30" s="7"/>
    </row>
    <row r="31" spans="1:14" x14ac:dyDescent="0.3">
      <c r="A31" s="489"/>
      <c r="B31" s="490" t="s">
        <v>165</v>
      </c>
      <c r="C31" s="490" t="s">
        <v>166</v>
      </c>
      <c r="D31" s="482" t="s">
        <v>167</v>
      </c>
      <c r="E31" s="482"/>
      <c r="F31" s="490" t="s">
        <v>113</v>
      </c>
      <c r="H31" s="7"/>
      <c r="I31" s="7"/>
      <c r="J31" s="7"/>
      <c r="K31" s="7"/>
      <c r="L31" s="7"/>
      <c r="M31" s="7"/>
    </row>
    <row r="32" spans="1:14" x14ac:dyDescent="0.3">
      <c r="A32" s="489"/>
      <c r="B32" s="490"/>
      <c r="C32" s="490"/>
      <c r="D32" s="228" t="s">
        <v>168</v>
      </c>
      <c r="E32" s="228" t="s">
        <v>169</v>
      </c>
      <c r="F32" s="490"/>
      <c r="H32" s="7"/>
      <c r="I32" s="7"/>
      <c r="J32" s="7"/>
      <c r="K32" s="7"/>
      <c r="L32" s="7"/>
      <c r="M32" s="7"/>
    </row>
    <row r="33" spans="1:13" x14ac:dyDescent="0.3">
      <c r="A33" s="64"/>
      <c r="B33" s="230" t="s">
        <v>155</v>
      </c>
      <c r="C33" s="230" t="s">
        <v>155</v>
      </c>
      <c r="D33" s="232" t="s">
        <v>155</v>
      </c>
      <c r="E33" s="232" t="s">
        <v>155</v>
      </c>
      <c r="F33" s="230" t="s">
        <v>155</v>
      </c>
      <c r="H33" s="7"/>
      <c r="I33" s="7"/>
      <c r="J33" s="7"/>
      <c r="K33" s="7"/>
      <c r="L33" s="7"/>
      <c r="M33" s="7"/>
    </row>
    <row r="34" spans="1:13" x14ac:dyDescent="0.3">
      <c r="A34" s="242" t="s">
        <v>170</v>
      </c>
      <c r="B34" s="243">
        <f>9116000+98000-68000</f>
        <v>9146000</v>
      </c>
      <c r="C34" s="291" t="s">
        <v>172</v>
      </c>
      <c r="D34" s="243">
        <v>322000</v>
      </c>
      <c r="E34" s="243">
        <v>272000</v>
      </c>
      <c r="F34" s="89">
        <f>SUM(B34:E34)</f>
        <v>9740000</v>
      </c>
    </row>
    <row r="35" spans="1:13" x14ac:dyDescent="0.3">
      <c r="A35" s="242" t="s">
        <v>157</v>
      </c>
      <c r="B35" s="243">
        <f>22472931+325621</f>
        <v>22798552</v>
      </c>
      <c r="C35" s="291" t="s">
        <v>172</v>
      </c>
      <c r="D35" s="242">
        <v>0</v>
      </c>
      <c r="E35" s="242">
        <v>0</v>
      </c>
      <c r="F35" s="89">
        <f t="shared" ref="F35:F36" si="6">SUM(B35:E35)</f>
        <v>22798552</v>
      </c>
    </row>
    <row r="36" spans="1:13" x14ac:dyDescent="0.3">
      <c r="A36" s="242" t="s">
        <v>158</v>
      </c>
      <c r="B36" s="243">
        <v>5800295</v>
      </c>
      <c r="C36" s="291" t="s">
        <v>172</v>
      </c>
      <c r="D36" s="243">
        <v>215532</v>
      </c>
      <c r="E36" s="242">
        <v>0</v>
      </c>
      <c r="F36" s="89">
        <f t="shared" si="6"/>
        <v>6015827</v>
      </c>
    </row>
    <row r="37" spans="1:13" x14ac:dyDescent="0.3">
      <c r="A37" s="232" t="s">
        <v>113</v>
      </c>
      <c r="B37" s="89">
        <f>SUM(B34:B36)</f>
        <v>37744847</v>
      </c>
      <c r="C37" s="292" t="s">
        <v>172</v>
      </c>
      <c r="D37" s="89">
        <f t="shared" ref="D37" si="7">SUM(D34:D36)</f>
        <v>537532</v>
      </c>
      <c r="E37" s="89">
        <f t="shared" ref="E37" si="8">SUM(E34:E36)</f>
        <v>272000</v>
      </c>
      <c r="F37" s="89">
        <f>SUM(F34:F36)</f>
        <v>38554379</v>
      </c>
    </row>
    <row r="38" spans="1:13" x14ac:dyDescent="0.3">
      <c r="A38" s="88" t="s">
        <v>173</v>
      </c>
    </row>
    <row r="39" spans="1:13" x14ac:dyDescent="0.3">
      <c r="A39" s="74"/>
    </row>
    <row r="40" spans="1:13" x14ac:dyDescent="0.3">
      <c r="A40" s="74"/>
    </row>
    <row r="41" spans="1:13" x14ac:dyDescent="0.3">
      <c r="A41" s="482" t="s">
        <v>176</v>
      </c>
      <c r="B41" s="482"/>
      <c r="C41" s="482"/>
      <c r="D41" s="482"/>
      <c r="E41" s="482"/>
      <c r="F41" s="482"/>
    </row>
    <row r="42" spans="1:13" x14ac:dyDescent="0.3">
      <c r="A42" s="489"/>
      <c r="B42" s="490" t="s">
        <v>165</v>
      </c>
      <c r="C42" s="490" t="s">
        <v>166</v>
      </c>
      <c r="D42" s="487" t="s">
        <v>167</v>
      </c>
      <c r="E42" s="484"/>
      <c r="F42" s="490" t="s">
        <v>113</v>
      </c>
    </row>
    <row r="43" spans="1:13" x14ac:dyDescent="0.3">
      <c r="A43" s="489"/>
      <c r="B43" s="490"/>
      <c r="C43" s="490"/>
      <c r="D43" s="228" t="s">
        <v>168</v>
      </c>
      <c r="E43" s="228" t="s">
        <v>169</v>
      </c>
      <c r="F43" s="490"/>
    </row>
    <row r="44" spans="1:13" x14ac:dyDescent="0.3">
      <c r="A44" s="64"/>
      <c r="B44" s="230" t="s">
        <v>155</v>
      </c>
      <c r="C44" s="230" t="s">
        <v>155</v>
      </c>
      <c r="D44" s="232" t="s">
        <v>155</v>
      </c>
      <c r="E44" s="232" t="s">
        <v>155</v>
      </c>
      <c r="F44" s="230" t="s">
        <v>155</v>
      </c>
    </row>
    <row r="45" spans="1:13" x14ac:dyDescent="0.3">
      <c r="A45" s="242" t="s">
        <v>170</v>
      </c>
      <c r="B45" s="243">
        <v>73794000</v>
      </c>
      <c r="C45" s="243">
        <v>18410000</v>
      </c>
      <c r="D45" s="243">
        <v>2171000</v>
      </c>
      <c r="E45" s="243">
        <v>2615000</v>
      </c>
      <c r="F45" s="89">
        <f>SUM(B45:E45)</f>
        <v>96990000</v>
      </c>
    </row>
    <row r="46" spans="1:13" s="74" customFormat="1" x14ac:dyDescent="0.3">
      <c r="A46" s="242" t="s">
        <v>157</v>
      </c>
      <c r="B46" s="243">
        <v>289916407</v>
      </c>
      <c r="C46" s="243">
        <v>46315021</v>
      </c>
      <c r="D46" s="19">
        <v>0</v>
      </c>
      <c r="E46" s="19">
        <v>0</v>
      </c>
      <c r="F46" s="89">
        <f t="shared" ref="F46:F47" si="9">SUM(B46:E46)</f>
        <v>336231428</v>
      </c>
    </row>
    <row r="47" spans="1:13" x14ac:dyDescent="0.3">
      <c r="A47" s="242" t="s">
        <v>158</v>
      </c>
      <c r="B47" s="243">
        <v>107033201</v>
      </c>
      <c r="C47" s="243">
        <v>20931099</v>
      </c>
      <c r="D47" s="243">
        <v>3179822</v>
      </c>
      <c r="E47" s="19">
        <v>0</v>
      </c>
      <c r="F47" s="89">
        <f t="shared" si="9"/>
        <v>131144122</v>
      </c>
    </row>
    <row r="48" spans="1:13" x14ac:dyDescent="0.3">
      <c r="A48" s="232" t="s">
        <v>113</v>
      </c>
      <c r="B48" s="89">
        <f>SUM(B45:B47)</f>
        <v>470743608</v>
      </c>
      <c r="C48" s="89">
        <f>SUM(C45:C47)</f>
        <v>85656120</v>
      </c>
      <c r="D48" s="89">
        <f t="shared" ref="D48" si="10">SUM(D45:D47)</f>
        <v>5350822</v>
      </c>
      <c r="E48" s="89">
        <f t="shared" ref="E48" si="11">SUM(E45:E47)</f>
        <v>2615000</v>
      </c>
      <c r="F48" s="89">
        <f>SUM(F45:F47)</f>
        <v>564365550</v>
      </c>
    </row>
    <row r="49" spans="1:6" x14ac:dyDescent="0.3">
      <c r="A49" s="482" t="s">
        <v>177</v>
      </c>
      <c r="B49" s="482"/>
      <c r="C49" s="482"/>
      <c r="D49" s="482"/>
      <c r="E49" s="482"/>
      <c r="F49" s="482"/>
    </row>
    <row r="50" spans="1:6" x14ac:dyDescent="0.3">
      <c r="A50" s="489"/>
      <c r="B50" s="490" t="s">
        <v>165</v>
      </c>
      <c r="C50" s="490" t="s">
        <v>166</v>
      </c>
      <c r="D50" s="487" t="s">
        <v>167</v>
      </c>
      <c r="E50" s="484"/>
      <c r="F50" s="490" t="s">
        <v>113</v>
      </c>
    </row>
    <row r="51" spans="1:6" x14ac:dyDescent="0.3">
      <c r="A51" s="489"/>
      <c r="B51" s="490"/>
      <c r="C51" s="490"/>
      <c r="D51" s="228" t="s">
        <v>168</v>
      </c>
      <c r="E51" s="228" t="s">
        <v>169</v>
      </c>
      <c r="F51" s="490"/>
    </row>
    <row r="52" spans="1:6" x14ac:dyDescent="0.3">
      <c r="A52" s="64"/>
      <c r="B52" s="230" t="s">
        <v>155</v>
      </c>
      <c r="C52" s="230" t="s">
        <v>155</v>
      </c>
      <c r="D52" s="232" t="s">
        <v>155</v>
      </c>
      <c r="E52" s="232" t="s">
        <v>155</v>
      </c>
      <c r="F52" s="230" t="s">
        <v>155</v>
      </c>
    </row>
    <row r="53" spans="1:6" x14ac:dyDescent="0.3">
      <c r="A53" s="242" t="s">
        <v>170</v>
      </c>
      <c r="B53" s="243">
        <v>8869000</v>
      </c>
      <c r="C53" s="291" t="s">
        <v>172</v>
      </c>
      <c r="D53" s="243">
        <v>314000</v>
      </c>
      <c r="E53" s="243">
        <v>264000</v>
      </c>
      <c r="F53" s="89">
        <f>SUM(B53:E53)</f>
        <v>9447000</v>
      </c>
    </row>
    <row r="54" spans="1:6" x14ac:dyDescent="0.3">
      <c r="A54" s="242" t="s">
        <v>157</v>
      </c>
      <c r="B54" s="243">
        <v>22236727</v>
      </c>
      <c r="C54" s="291" t="s">
        <v>172</v>
      </c>
      <c r="D54" s="242">
        <v>0</v>
      </c>
      <c r="E54" s="242">
        <v>0</v>
      </c>
      <c r="F54" s="89">
        <f t="shared" ref="F54:F55" si="12">SUM(B54:E54)</f>
        <v>22236727</v>
      </c>
    </row>
    <row r="55" spans="1:6" s="24" customFormat="1" x14ac:dyDescent="0.3">
      <c r="A55" s="242" t="s">
        <v>158</v>
      </c>
      <c r="B55" s="243">
        <v>5693262</v>
      </c>
      <c r="C55" s="291" t="s">
        <v>172</v>
      </c>
      <c r="D55" s="243">
        <v>211749</v>
      </c>
      <c r="E55" s="242">
        <v>0</v>
      </c>
      <c r="F55" s="89">
        <f t="shared" si="12"/>
        <v>5905011</v>
      </c>
    </row>
    <row r="56" spans="1:6" x14ac:dyDescent="0.3">
      <c r="A56" s="232" t="s">
        <v>113</v>
      </c>
      <c r="B56" s="89">
        <f>SUM(B53:B55)</f>
        <v>36798989</v>
      </c>
      <c r="C56" s="292" t="s">
        <v>172</v>
      </c>
      <c r="D56" s="89">
        <f t="shared" ref="D56" si="13">SUM(D53:D55)</f>
        <v>525749</v>
      </c>
      <c r="E56" s="89">
        <f t="shared" ref="E56" si="14">SUM(E53:E55)</f>
        <v>264000</v>
      </c>
      <c r="F56" s="89">
        <f>SUM(F53:F55)</f>
        <v>37588738</v>
      </c>
    </row>
    <row r="57" spans="1:6" x14ac:dyDescent="0.3">
      <c r="A57" s="88" t="s">
        <v>173</v>
      </c>
    </row>
    <row r="58" spans="1:6" x14ac:dyDescent="0.3">
      <c r="A58" s="91"/>
    </row>
    <row r="59" spans="1:6" x14ac:dyDescent="0.3">
      <c r="A59" s="486" t="s">
        <v>178</v>
      </c>
      <c r="B59" s="486"/>
      <c r="C59" s="486"/>
      <c r="D59" s="486"/>
      <c r="E59" s="486"/>
      <c r="F59" s="486"/>
    </row>
    <row r="60" spans="1:6" x14ac:dyDescent="0.3">
      <c r="A60" s="486"/>
      <c r="B60" s="491" t="s">
        <v>179</v>
      </c>
      <c r="C60" s="491" t="s">
        <v>166</v>
      </c>
      <c r="D60" s="486" t="s">
        <v>167</v>
      </c>
      <c r="E60" s="486"/>
      <c r="F60" s="492" t="s">
        <v>113</v>
      </c>
    </row>
    <row r="61" spans="1:6" x14ac:dyDescent="0.3">
      <c r="A61" s="486"/>
      <c r="B61" s="491"/>
      <c r="C61" s="491"/>
      <c r="D61" s="231" t="s">
        <v>180</v>
      </c>
      <c r="E61" s="231" t="s">
        <v>169</v>
      </c>
      <c r="F61" s="493"/>
    </row>
    <row r="62" spans="1:6" x14ac:dyDescent="0.3">
      <c r="A62" s="231"/>
      <c r="B62" s="10" t="s">
        <v>155</v>
      </c>
      <c r="C62" s="10" t="s">
        <v>155</v>
      </c>
      <c r="D62" s="18" t="s">
        <v>155</v>
      </c>
      <c r="E62" s="18" t="s">
        <v>155</v>
      </c>
      <c r="F62" s="10" t="s">
        <v>155</v>
      </c>
    </row>
    <row r="63" spans="1:6" x14ac:dyDescent="0.3">
      <c r="A63" s="11" t="s">
        <v>170</v>
      </c>
      <c r="B63" s="142">
        <v>62370000</v>
      </c>
      <c r="C63" s="142">
        <v>15520000</v>
      </c>
      <c r="D63" s="142">
        <v>2065000</v>
      </c>
      <c r="E63" s="142">
        <v>2213000</v>
      </c>
      <c r="F63" s="142">
        <v>82168000</v>
      </c>
    </row>
    <row r="64" spans="1:6" x14ac:dyDescent="0.3">
      <c r="A64" s="11" t="s">
        <v>157</v>
      </c>
      <c r="B64" s="142">
        <v>249479204</v>
      </c>
      <c r="C64" s="142">
        <v>38996532</v>
      </c>
      <c r="D64" s="19" t="s">
        <v>181</v>
      </c>
      <c r="E64" s="19" t="s">
        <v>181</v>
      </c>
      <c r="F64" s="142">
        <v>288475736</v>
      </c>
    </row>
    <row r="65" spans="1:6" x14ac:dyDescent="0.3">
      <c r="A65" s="11" t="s">
        <v>158</v>
      </c>
      <c r="B65" s="142">
        <v>92641094</v>
      </c>
      <c r="C65" s="142">
        <v>17979264</v>
      </c>
      <c r="D65" s="142">
        <v>3093541</v>
      </c>
      <c r="E65" s="19" t="s">
        <v>181</v>
      </c>
      <c r="F65" s="142">
        <v>113713899</v>
      </c>
    </row>
    <row r="66" spans="1:6" x14ac:dyDescent="0.3">
      <c r="A66" s="9" t="s">
        <v>113</v>
      </c>
      <c r="B66" s="143">
        <v>404490298</v>
      </c>
      <c r="C66" s="143">
        <v>72495796</v>
      </c>
      <c r="D66" s="143">
        <v>5158541</v>
      </c>
      <c r="E66" s="143">
        <v>2213000</v>
      </c>
      <c r="F66" s="143">
        <v>484357635</v>
      </c>
    </row>
    <row r="67" spans="1:6" x14ac:dyDescent="0.3">
      <c r="A67" s="116"/>
      <c r="B67" s="116"/>
      <c r="C67" s="116"/>
      <c r="D67" s="116"/>
      <c r="E67" s="116"/>
      <c r="F67" s="116"/>
    </row>
    <row r="68" spans="1:6" x14ac:dyDescent="0.3">
      <c r="A68" s="486" t="s">
        <v>182</v>
      </c>
      <c r="B68" s="486"/>
      <c r="C68" s="486"/>
      <c r="D68" s="486"/>
      <c r="E68" s="486"/>
      <c r="F68" s="486"/>
    </row>
    <row r="69" spans="1:6" x14ac:dyDescent="0.3">
      <c r="A69" s="486"/>
      <c r="B69" s="491" t="s">
        <v>183</v>
      </c>
      <c r="C69" s="491" t="s">
        <v>184</v>
      </c>
      <c r="D69" s="486" t="s">
        <v>167</v>
      </c>
      <c r="E69" s="486"/>
      <c r="F69" s="492" t="s">
        <v>113</v>
      </c>
    </row>
    <row r="70" spans="1:6" x14ac:dyDescent="0.3">
      <c r="A70" s="486"/>
      <c r="B70" s="491"/>
      <c r="C70" s="491"/>
      <c r="D70" s="231" t="s">
        <v>180</v>
      </c>
      <c r="E70" s="231" t="s">
        <v>169</v>
      </c>
      <c r="F70" s="493"/>
    </row>
    <row r="71" spans="1:6" x14ac:dyDescent="0.3">
      <c r="A71" s="18"/>
      <c r="B71" s="10" t="s">
        <v>155</v>
      </c>
      <c r="C71" s="10" t="s">
        <v>155</v>
      </c>
      <c r="D71" s="18" t="s">
        <v>155</v>
      </c>
      <c r="E71" s="18" t="s">
        <v>155</v>
      </c>
      <c r="F71" s="20" t="s">
        <v>155</v>
      </c>
    </row>
    <row r="72" spans="1:6" x14ac:dyDescent="0.3">
      <c r="A72" s="11" t="s">
        <v>170</v>
      </c>
      <c r="B72" s="142">
        <v>8265000</v>
      </c>
      <c r="C72" s="242" t="s">
        <v>185</v>
      </c>
      <c r="D72" s="142">
        <v>337000</v>
      </c>
      <c r="E72" s="142">
        <v>248000</v>
      </c>
      <c r="F72" s="142">
        <v>8850000</v>
      </c>
    </row>
    <row r="73" spans="1:6" x14ac:dyDescent="0.3">
      <c r="A73" s="11" t="s">
        <v>157</v>
      </c>
      <c r="B73" s="142">
        <v>21006160</v>
      </c>
      <c r="C73" s="242" t="s">
        <v>185</v>
      </c>
      <c r="D73" s="19" t="s">
        <v>181</v>
      </c>
      <c r="E73" s="19" t="s">
        <v>181</v>
      </c>
      <c r="F73" s="142">
        <v>21006160</v>
      </c>
    </row>
    <row r="74" spans="1:6" x14ac:dyDescent="0.3">
      <c r="A74" s="11" t="s">
        <v>158</v>
      </c>
      <c r="B74" s="142">
        <v>5457452</v>
      </c>
      <c r="C74" s="242" t="s">
        <v>185</v>
      </c>
      <c r="D74" s="142">
        <v>230336</v>
      </c>
      <c r="E74" s="19" t="s">
        <v>181</v>
      </c>
      <c r="F74" s="142">
        <v>5687788</v>
      </c>
    </row>
    <row r="75" spans="1:6" x14ac:dyDescent="0.3">
      <c r="A75" s="9" t="s">
        <v>113</v>
      </c>
      <c r="B75" s="143">
        <v>34728612</v>
      </c>
      <c r="C75" s="232" t="s">
        <v>185</v>
      </c>
      <c r="D75" s="143">
        <v>567336</v>
      </c>
      <c r="E75" s="143">
        <v>248000</v>
      </c>
      <c r="F75" s="143">
        <v>35543948</v>
      </c>
    </row>
    <row r="76" spans="1:6" x14ac:dyDescent="0.3">
      <c r="A76" s="88" t="s">
        <v>173</v>
      </c>
    </row>
  </sheetData>
  <mergeCells count="48">
    <mergeCell ref="A49:F49"/>
    <mergeCell ref="A50:A51"/>
    <mergeCell ref="F50:F51"/>
    <mergeCell ref="B50:B51"/>
    <mergeCell ref="C50:C51"/>
    <mergeCell ref="D50:E50"/>
    <mergeCell ref="A41:F41"/>
    <mergeCell ref="A42:A43"/>
    <mergeCell ref="B42:B43"/>
    <mergeCell ref="C42:C43"/>
    <mergeCell ref="D42:E42"/>
    <mergeCell ref="F42:F43"/>
    <mergeCell ref="A59:F59"/>
    <mergeCell ref="A60:A61"/>
    <mergeCell ref="B60:B61"/>
    <mergeCell ref="C60:C61"/>
    <mergeCell ref="D60:E60"/>
    <mergeCell ref="F60:F61"/>
    <mergeCell ref="A68:F68"/>
    <mergeCell ref="A69:A70"/>
    <mergeCell ref="B69:B70"/>
    <mergeCell ref="C69:C70"/>
    <mergeCell ref="D69:E69"/>
    <mergeCell ref="F69:F70"/>
    <mergeCell ref="A22:F22"/>
    <mergeCell ref="A23:A24"/>
    <mergeCell ref="B23:B24"/>
    <mergeCell ref="C23:C24"/>
    <mergeCell ref="D23:E23"/>
    <mergeCell ref="F23:F24"/>
    <mergeCell ref="A30:F30"/>
    <mergeCell ref="A31:A32"/>
    <mergeCell ref="B31:B32"/>
    <mergeCell ref="C31:C32"/>
    <mergeCell ref="D31:E31"/>
    <mergeCell ref="F31:F32"/>
    <mergeCell ref="A4:F4"/>
    <mergeCell ref="A5:A6"/>
    <mergeCell ref="B5:B6"/>
    <mergeCell ref="C5:C6"/>
    <mergeCell ref="D5:E5"/>
    <mergeCell ref="F5:F6"/>
    <mergeCell ref="A12:F12"/>
    <mergeCell ref="A13:A14"/>
    <mergeCell ref="B13:B14"/>
    <mergeCell ref="C13:C14"/>
    <mergeCell ref="D13:E13"/>
    <mergeCell ref="F13:F14"/>
  </mergeCells>
  <hyperlinks>
    <hyperlink ref="A1" location="Inhoud!A1" display="Terug naar inhoud" xr:uid="{F2E78A17-D853-4610-94A1-F26F62AF5713}"/>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650C5-8BBA-4F1C-BC93-712506FB87FB}">
  <sheetPr codeName="Blad7"/>
  <dimension ref="A1:P39"/>
  <sheetViews>
    <sheetView workbookViewId="0">
      <selection activeCell="A2" sqref="A2"/>
    </sheetView>
  </sheetViews>
  <sheetFormatPr defaultColWidth="9.109375" defaultRowHeight="14.4" x14ac:dyDescent="0.3"/>
  <cols>
    <col min="1" max="1" width="6.44140625" style="34" bestFit="1" customWidth="1"/>
    <col min="2" max="2" width="12" style="34" bestFit="1" customWidth="1"/>
    <col min="3" max="3" width="6.44140625" style="34" customWidth="1"/>
    <col min="4" max="4" width="12" style="34" bestFit="1" customWidth="1"/>
    <col min="5" max="5" width="6.5546875" style="34" customWidth="1"/>
    <col min="6" max="6" width="12" style="34" bestFit="1" customWidth="1"/>
    <col min="7" max="7" width="6.5546875" style="34" bestFit="1" customWidth="1"/>
    <col min="8" max="8" width="12" style="34" bestFit="1" customWidth="1"/>
    <col min="9" max="9" width="6.5546875" style="34" bestFit="1" customWidth="1"/>
    <col min="10" max="10" width="12.88671875" style="34" customWidth="1"/>
    <col min="11" max="11" width="8.109375" style="34" customWidth="1"/>
    <col min="12" max="12" width="15.6640625" style="34" customWidth="1"/>
    <col min="13" max="13" width="7.88671875" style="34" customWidth="1"/>
    <col min="14" max="14" width="12" style="34" customWidth="1"/>
    <col min="15" max="15" width="9.109375" style="34"/>
    <col min="16" max="16" width="9.88671875" style="34" customWidth="1"/>
    <col min="17" max="16384" width="9.109375" style="34"/>
  </cols>
  <sheetData>
    <row r="1" spans="1:16" x14ac:dyDescent="0.3">
      <c r="A1" s="375" t="s">
        <v>95</v>
      </c>
    </row>
    <row r="2" spans="1:16" x14ac:dyDescent="0.3">
      <c r="A2" s="60" t="s">
        <v>186</v>
      </c>
      <c r="B2" s="60"/>
      <c r="C2" s="60"/>
    </row>
    <row r="3" spans="1:16" x14ac:dyDescent="0.3">
      <c r="A3" s="482" t="s">
        <v>187</v>
      </c>
      <c r="B3" s="483"/>
      <c r="C3" s="483"/>
      <c r="D3" s="482"/>
      <c r="E3" s="482"/>
      <c r="F3" s="482"/>
      <c r="G3" s="482"/>
      <c r="H3" s="482"/>
      <c r="I3" s="482"/>
      <c r="J3" s="482"/>
      <c r="K3" s="482"/>
      <c r="L3" s="482"/>
      <c r="M3" s="482"/>
      <c r="N3" s="482"/>
    </row>
    <row r="4" spans="1:16" x14ac:dyDescent="0.3">
      <c r="A4" s="152"/>
      <c r="B4" s="498" t="s">
        <v>97</v>
      </c>
      <c r="C4" s="498"/>
      <c r="D4" s="229" t="s">
        <v>98</v>
      </c>
      <c r="E4" s="228"/>
      <c r="F4" s="482" t="s">
        <v>99</v>
      </c>
      <c r="G4" s="482"/>
      <c r="H4" s="482" t="s">
        <v>100</v>
      </c>
      <c r="I4" s="482"/>
      <c r="J4" s="487" t="s">
        <v>101</v>
      </c>
      <c r="K4" s="484"/>
      <c r="L4" s="487" t="s">
        <v>102</v>
      </c>
      <c r="M4" s="484"/>
      <c r="N4" s="499" t="s">
        <v>116</v>
      </c>
    </row>
    <row r="5" spans="1:16" ht="88.8" x14ac:dyDescent="0.3">
      <c r="A5" s="153"/>
      <c r="B5" s="247" t="s">
        <v>155</v>
      </c>
      <c r="C5" s="72" t="s">
        <v>188</v>
      </c>
      <c r="D5" s="248" t="s">
        <v>155</v>
      </c>
      <c r="E5" s="72" t="s">
        <v>188</v>
      </c>
      <c r="F5" s="233" t="s">
        <v>155</v>
      </c>
      <c r="G5" s="72" t="s">
        <v>188</v>
      </c>
      <c r="H5" s="233" t="s">
        <v>155</v>
      </c>
      <c r="I5" s="72" t="s">
        <v>188</v>
      </c>
      <c r="J5" s="233" t="s">
        <v>155</v>
      </c>
      <c r="K5" s="72" t="s">
        <v>188</v>
      </c>
      <c r="L5" s="233" t="s">
        <v>155</v>
      </c>
      <c r="M5" s="72" t="s">
        <v>188</v>
      </c>
      <c r="N5" s="500"/>
    </row>
    <row r="6" spans="1:16" x14ac:dyDescent="0.3">
      <c r="A6" s="240" t="s">
        <v>189</v>
      </c>
      <c r="B6" s="123">
        <v>84548000</v>
      </c>
      <c r="C6" s="156">
        <v>212</v>
      </c>
      <c r="D6" s="241">
        <v>87817000</v>
      </c>
      <c r="E6" s="242">
        <v>212</v>
      </c>
      <c r="F6" s="243">
        <v>90573000</v>
      </c>
      <c r="G6" s="242">
        <v>213</v>
      </c>
      <c r="H6" s="243">
        <v>93913000</v>
      </c>
      <c r="I6" s="242">
        <v>213</v>
      </c>
      <c r="J6" s="243">
        <v>97178000</v>
      </c>
      <c r="K6" s="242">
        <v>215</v>
      </c>
      <c r="L6" s="417">
        <v>99381706</v>
      </c>
      <c r="M6" s="242">
        <v>215</v>
      </c>
      <c r="N6" s="244">
        <f>(L6-J6)/J6</f>
        <v>2.2677005083455104E-2</v>
      </c>
      <c r="O6" s="109"/>
    </row>
    <row r="7" spans="1:16" x14ac:dyDescent="0.3">
      <c r="A7" s="240" t="s">
        <v>157</v>
      </c>
      <c r="B7" s="123">
        <v>296404438</v>
      </c>
      <c r="C7" s="156">
        <v>667</v>
      </c>
      <c r="D7" s="241">
        <v>298317263</v>
      </c>
      <c r="E7" s="242">
        <v>667</v>
      </c>
      <c r="F7" s="243">
        <v>300036458</v>
      </c>
      <c r="G7" s="242">
        <v>667</v>
      </c>
      <c r="H7" s="243">
        <v>303490102</v>
      </c>
      <c r="I7" s="242">
        <v>669</v>
      </c>
      <c r="J7" s="243">
        <v>306279696</v>
      </c>
      <c r="K7" s="242">
        <v>678</v>
      </c>
      <c r="L7" s="243">
        <v>309656704</v>
      </c>
      <c r="M7" s="242">
        <v>687</v>
      </c>
      <c r="N7" s="244">
        <f t="shared" ref="N7:N8" si="0">(L7-J7)/J7</f>
        <v>1.102589575510092E-2</v>
      </c>
      <c r="O7" s="109"/>
    </row>
    <row r="8" spans="1:16" x14ac:dyDescent="0.3">
      <c r="A8" s="240" t="s">
        <v>158</v>
      </c>
      <c r="B8" s="123">
        <v>35114756</v>
      </c>
      <c r="C8" s="156">
        <v>70</v>
      </c>
      <c r="D8" s="241">
        <v>35713864</v>
      </c>
      <c r="E8" s="242">
        <v>70</v>
      </c>
      <c r="F8" s="243">
        <v>36181899</v>
      </c>
      <c r="G8" s="242">
        <v>70</v>
      </c>
      <c r="H8" s="243">
        <v>36736449</v>
      </c>
      <c r="I8" s="242">
        <v>70</v>
      </c>
      <c r="J8" s="243">
        <v>36478015</v>
      </c>
      <c r="K8" s="242">
        <v>67</v>
      </c>
      <c r="L8" s="243">
        <v>37012269</v>
      </c>
      <c r="M8" s="242">
        <v>66</v>
      </c>
      <c r="N8" s="244">
        <f t="shared" si="0"/>
        <v>1.4645917547870957E-2</v>
      </c>
      <c r="O8" s="109"/>
    </row>
    <row r="9" spans="1:16" x14ac:dyDescent="0.3">
      <c r="A9" s="164" t="s">
        <v>113</v>
      </c>
      <c r="B9" s="342">
        <v>416254194</v>
      </c>
      <c r="C9" s="343">
        <v>949</v>
      </c>
      <c r="D9" s="148">
        <v>421848127</v>
      </c>
      <c r="E9" s="232">
        <v>949</v>
      </c>
      <c r="F9" s="89">
        <v>426791357</v>
      </c>
      <c r="G9" s="232">
        <v>950</v>
      </c>
      <c r="H9" s="89">
        <v>434139551</v>
      </c>
      <c r="I9" s="232">
        <v>952</v>
      </c>
      <c r="J9" s="344">
        <f>SUM(J6:J8)</f>
        <v>439935711</v>
      </c>
      <c r="K9" s="74">
        <f>SUM(K6:K8)</f>
        <v>960</v>
      </c>
      <c r="L9" s="418">
        <f>SUM(L6:L8)</f>
        <v>446050679</v>
      </c>
      <c r="M9" s="74">
        <f>SUM(M6:M8)</f>
        <v>968</v>
      </c>
      <c r="N9" s="244">
        <f>(L9-J9)/J9</f>
        <v>1.3899685447449388E-2</v>
      </c>
      <c r="O9" s="109"/>
      <c r="P9" s="115"/>
    </row>
    <row r="10" spans="1:16" x14ac:dyDescent="0.3">
      <c r="A10" s="494" t="s">
        <v>190</v>
      </c>
      <c r="B10" s="495"/>
      <c r="C10" s="495"/>
      <c r="D10" s="496"/>
      <c r="E10" s="496"/>
      <c r="F10" s="496"/>
      <c r="G10" s="496"/>
      <c r="H10" s="496"/>
      <c r="I10" s="496"/>
      <c r="J10" s="496"/>
      <c r="K10" s="496"/>
      <c r="L10" s="496"/>
      <c r="M10" s="496"/>
      <c r="N10" s="497"/>
      <c r="O10" s="109"/>
    </row>
    <row r="11" spans="1:16" x14ac:dyDescent="0.3">
      <c r="A11" s="482" t="s">
        <v>191</v>
      </c>
      <c r="B11" s="483"/>
      <c r="C11" s="483"/>
      <c r="D11" s="482"/>
      <c r="E11" s="482"/>
      <c r="F11" s="482"/>
      <c r="G11" s="482"/>
      <c r="H11" s="482"/>
      <c r="I11" s="482"/>
      <c r="J11" s="482"/>
      <c r="K11" s="482"/>
      <c r="L11" s="482"/>
      <c r="M11" s="482"/>
      <c r="N11" s="482"/>
      <c r="O11" s="109"/>
    </row>
    <row r="12" spans="1:16" x14ac:dyDescent="0.3">
      <c r="A12" s="155"/>
      <c r="B12" s="498" t="s">
        <v>97</v>
      </c>
      <c r="C12" s="498"/>
      <c r="D12" s="484" t="s">
        <v>98</v>
      </c>
      <c r="E12" s="482"/>
      <c r="F12" s="482" t="s">
        <v>99</v>
      </c>
      <c r="G12" s="482"/>
      <c r="H12" s="482" t="s">
        <v>100</v>
      </c>
      <c r="I12" s="482"/>
      <c r="J12" s="501" t="s">
        <v>101</v>
      </c>
      <c r="K12" s="502"/>
      <c r="L12" s="501" t="s">
        <v>102</v>
      </c>
      <c r="M12" s="502"/>
      <c r="N12" s="499" t="s">
        <v>116</v>
      </c>
      <c r="O12" s="109"/>
    </row>
    <row r="13" spans="1:16" ht="88.8" x14ac:dyDescent="0.3">
      <c r="A13" s="153"/>
      <c r="B13" s="247" t="s">
        <v>155</v>
      </c>
      <c r="C13" s="72" t="s">
        <v>188</v>
      </c>
      <c r="D13" s="248" t="s">
        <v>155</v>
      </c>
      <c r="E13" s="72" t="s">
        <v>188</v>
      </c>
      <c r="F13" s="233" t="s">
        <v>155</v>
      </c>
      <c r="G13" s="72" t="s">
        <v>188</v>
      </c>
      <c r="H13" s="233" t="s">
        <v>155</v>
      </c>
      <c r="I13" s="72" t="s">
        <v>188</v>
      </c>
      <c r="J13" s="233" t="s">
        <v>155</v>
      </c>
      <c r="K13" s="72" t="s">
        <v>188</v>
      </c>
      <c r="L13" s="233" t="s">
        <v>155</v>
      </c>
      <c r="M13" s="72" t="s">
        <v>188</v>
      </c>
      <c r="N13" s="500"/>
      <c r="O13" s="109"/>
    </row>
    <row r="14" spans="1:16" x14ac:dyDescent="0.3">
      <c r="A14" s="240" t="s">
        <v>189</v>
      </c>
      <c r="B14" s="123">
        <v>7076484</v>
      </c>
      <c r="C14" s="156">
        <v>23</v>
      </c>
      <c r="D14" s="241">
        <v>7095000</v>
      </c>
      <c r="E14" s="242">
        <v>23</v>
      </c>
      <c r="F14" s="243">
        <v>7279000</v>
      </c>
      <c r="G14" s="242">
        <v>23</v>
      </c>
      <c r="H14" s="243">
        <v>7720000</v>
      </c>
      <c r="I14" s="242">
        <v>25</v>
      </c>
      <c r="J14" s="243">
        <v>8093291</v>
      </c>
      <c r="K14" s="243">
        <v>26</v>
      </c>
      <c r="L14" s="419">
        <v>8819444</v>
      </c>
      <c r="M14" s="243">
        <v>30</v>
      </c>
      <c r="N14" s="182">
        <f>(L14-J14)/J15</f>
        <v>4.4616451252296865E-2</v>
      </c>
      <c r="O14" s="109"/>
    </row>
    <row r="15" spans="1:16" x14ac:dyDescent="0.3">
      <c r="A15" s="240" t="s">
        <v>157</v>
      </c>
      <c r="B15" s="123">
        <f>15628243-359</f>
        <v>15627884</v>
      </c>
      <c r="C15" s="156">
        <v>82</v>
      </c>
      <c r="D15" s="241">
        <v>15841467</v>
      </c>
      <c r="E15" s="242">
        <v>84</v>
      </c>
      <c r="F15" s="243">
        <v>15966941</v>
      </c>
      <c r="G15" s="242">
        <v>84</v>
      </c>
      <c r="H15" s="243">
        <v>16040852</v>
      </c>
      <c r="I15" s="242">
        <v>88</v>
      </c>
      <c r="J15" s="243">
        <v>16275454</v>
      </c>
      <c r="K15" s="243">
        <v>92</v>
      </c>
      <c r="L15" s="419">
        <v>16508356.710000001</v>
      </c>
      <c r="M15" s="243">
        <v>91</v>
      </c>
      <c r="N15" s="182">
        <f t="shared" ref="N15:N16" si="1">(L15-J15)/J16</f>
        <v>7.3505784291911735E-2</v>
      </c>
      <c r="O15" s="109"/>
    </row>
    <row r="16" spans="1:16" x14ac:dyDescent="0.3">
      <c r="A16" s="240" t="s">
        <v>158</v>
      </c>
      <c r="B16" s="123">
        <v>3229910</v>
      </c>
      <c r="C16" s="156">
        <v>19</v>
      </c>
      <c r="D16" s="241">
        <v>3259670</v>
      </c>
      <c r="E16" s="242">
        <v>19</v>
      </c>
      <c r="F16" s="243">
        <v>3328206</v>
      </c>
      <c r="G16" s="242">
        <v>19</v>
      </c>
      <c r="H16" s="243">
        <v>3249834</v>
      </c>
      <c r="I16" s="242">
        <v>19</v>
      </c>
      <c r="J16" s="243">
        <v>3168495</v>
      </c>
      <c r="K16" s="243">
        <v>18</v>
      </c>
      <c r="L16" s="419">
        <v>3147411.35</v>
      </c>
      <c r="M16" s="243">
        <v>17</v>
      </c>
      <c r="N16" s="182">
        <f t="shared" si="1"/>
        <v>-7.6564136420352613E-4</v>
      </c>
      <c r="O16" s="182"/>
    </row>
    <row r="17" spans="1:15" x14ac:dyDescent="0.3">
      <c r="A17" s="164" t="s">
        <v>113</v>
      </c>
      <c r="B17" s="342">
        <v>25934637</v>
      </c>
      <c r="C17" s="343">
        <v>124</v>
      </c>
      <c r="D17" s="148">
        <v>26196137</v>
      </c>
      <c r="E17" s="232">
        <v>126</v>
      </c>
      <c r="F17" s="89">
        <v>26574147</v>
      </c>
      <c r="G17" s="232">
        <v>126</v>
      </c>
      <c r="H17" s="89">
        <v>27010686</v>
      </c>
      <c r="I17" s="232">
        <v>132</v>
      </c>
      <c r="J17" s="89">
        <f>SUM(J14:J16)</f>
        <v>27537240</v>
      </c>
      <c r="K17" s="89">
        <f>SUM(K14:K16)</f>
        <v>136</v>
      </c>
      <c r="L17" s="89">
        <f>SUM(L14:L16)</f>
        <v>28475212.060000002</v>
      </c>
      <c r="M17" s="89">
        <f>SUM(M14:M16)</f>
        <v>138</v>
      </c>
      <c r="N17" s="182">
        <v>3.4099999999999998E-2</v>
      </c>
      <c r="O17" s="109"/>
    </row>
    <row r="18" spans="1:15" x14ac:dyDescent="0.3">
      <c r="A18" s="93" t="s">
        <v>190</v>
      </c>
      <c r="B18" s="93"/>
      <c r="C18" s="93"/>
    </row>
    <row r="19" spans="1:15" x14ac:dyDescent="0.3">
      <c r="A19" s="91"/>
      <c r="B19" s="91"/>
      <c r="C19" s="91"/>
    </row>
    <row r="20" spans="1:15" x14ac:dyDescent="0.3">
      <c r="A20" s="91"/>
      <c r="B20" s="91"/>
      <c r="C20" s="91"/>
    </row>
    <row r="21" spans="1:15" x14ac:dyDescent="0.3">
      <c r="A21" s="91"/>
      <c r="B21" s="91"/>
      <c r="C21" s="91"/>
    </row>
    <row r="22" spans="1:15" x14ac:dyDescent="0.3">
      <c r="A22" s="91"/>
      <c r="B22" s="91"/>
      <c r="C22" s="91"/>
    </row>
    <row r="23" spans="1:15" x14ac:dyDescent="0.3">
      <c r="A23" s="91"/>
      <c r="B23" s="91"/>
      <c r="C23" s="91"/>
    </row>
    <row r="24" spans="1:15" x14ac:dyDescent="0.3">
      <c r="A24" s="91"/>
      <c r="B24" s="91"/>
      <c r="C24" s="91"/>
    </row>
    <row r="25" spans="1:15" x14ac:dyDescent="0.3">
      <c r="A25" s="91"/>
      <c r="B25" s="91"/>
      <c r="C25" s="91"/>
    </row>
    <row r="26" spans="1:15" x14ac:dyDescent="0.3">
      <c r="A26" s="91"/>
      <c r="B26" s="91"/>
      <c r="C26" s="91"/>
    </row>
    <row r="27" spans="1:15" x14ac:dyDescent="0.3">
      <c r="A27" s="91"/>
      <c r="B27" s="91"/>
      <c r="C27" s="91"/>
    </row>
    <row r="28" spans="1:15" x14ac:dyDescent="0.3">
      <c r="A28" s="91"/>
      <c r="B28" s="91"/>
      <c r="C28" s="91"/>
    </row>
    <row r="29" spans="1:15" x14ac:dyDescent="0.3">
      <c r="A29" s="91"/>
      <c r="B29" s="91"/>
      <c r="C29" s="91"/>
    </row>
    <row r="30" spans="1:15" x14ac:dyDescent="0.3">
      <c r="A30" s="91"/>
      <c r="B30" s="91"/>
      <c r="C30" s="91"/>
    </row>
    <row r="31" spans="1:15" x14ac:dyDescent="0.3">
      <c r="A31" s="91"/>
      <c r="B31" s="91"/>
      <c r="C31" s="91"/>
    </row>
    <row r="32" spans="1:15" x14ac:dyDescent="0.3">
      <c r="A32" s="91"/>
      <c r="B32" s="91"/>
      <c r="C32" s="91"/>
    </row>
    <row r="33" spans="1:3" x14ac:dyDescent="0.3">
      <c r="A33" s="91"/>
      <c r="B33" s="91"/>
      <c r="C33" s="91"/>
    </row>
    <row r="34" spans="1:3" x14ac:dyDescent="0.3">
      <c r="A34" s="91"/>
      <c r="B34" s="91"/>
      <c r="C34" s="91"/>
    </row>
    <row r="35" spans="1:3" x14ac:dyDescent="0.3">
      <c r="A35" s="91"/>
      <c r="B35" s="91"/>
      <c r="C35" s="91"/>
    </row>
    <row r="36" spans="1:3" x14ac:dyDescent="0.3">
      <c r="A36" s="91"/>
      <c r="B36" s="91"/>
      <c r="C36" s="91"/>
    </row>
    <row r="37" spans="1:3" x14ac:dyDescent="0.3">
      <c r="A37" s="91"/>
      <c r="B37" s="91"/>
      <c r="C37" s="91"/>
    </row>
    <row r="38" spans="1:3" x14ac:dyDescent="0.3">
      <c r="A38" s="92"/>
      <c r="B38" s="92"/>
      <c r="C38" s="92"/>
    </row>
    <row r="39" spans="1:3" x14ac:dyDescent="0.3">
      <c r="A39" s="91"/>
      <c r="B39" s="91"/>
      <c r="C39" s="91"/>
    </row>
  </sheetData>
  <mergeCells count="16">
    <mergeCell ref="D12:E12"/>
    <mergeCell ref="F12:G12"/>
    <mergeCell ref="H12:I12"/>
    <mergeCell ref="A3:N3"/>
    <mergeCell ref="F4:G4"/>
    <mergeCell ref="H4:I4"/>
    <mergeCell ref="A10:N10"/>
    <mergeCell ref="A11:N11"/>
    <mergeCell ref="B4:C4"/>
    <mergeCell ref="B12:C12"/>
    <mergeCell ref="N4:N5"/>
    <mergeCell ref="N12:N13"/>
    <mergeCell ref="J4:K4"/>
    <mergeCell ref="J12:K12"/>
    <mergeCell ref="L4:M4"/>
    <mergeCell ref="L12:M12"/>
  </mergeCells>
  <conditionalFormatting sqref="A2:C2">
    <cfRule type="expression" dxfId="2" priority="1">
      <formula>$O2="VOK"</formula>
    </cfRule>
    <cfRule type="expression" dxfId="1" priority="2">
      <formula>$O2="NOK"</formula>
    </cfRule>
    <cfRule type="expression" dxfId="0" priority="3">
      <formula>$O2="OK"</formula>
    </cfRule>
  </conditionalFormatting>
  <hyperlinks>
    <hyperlink ref="A1" location="Inhoud!A1" display="Terug naar inhoud" xr:uid="{9D917968-7665-46F2-8CD6-02F94C96244C}"/>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27168-6745-4077-AFF8-C4BEEDE04C2A}">
  <sheetPr codeName="Blad8"/>
  <dimension ref="A1:M81"/>
  <sheetViews>
    <sheetView workbookViewId="0">
      <selection activeCell="G14" sqref="G14"/>
    </sheetView>
  </sheetViews>
  <sheetFormatPr defaultColWidth="9.109375" defaultRowHeight="15.6" x14ac:dyDescent="0.3"/>
  <cols>
    <col min="1" max="1" width="6.44140625" style="95" bestFit="1" customWidth="1"/>
    <col min="2" max="2" width="17.88671875" style="95" bestFit="1" customWidth="1"/>
    <col min="3" max="3" width="20.109375" style="98" customWidth="1"/>
    <col min="4" max="5" width="12.5546875" style="95" bestFit="1" customWidth="1"/>
    <col min="6" max="6" width="15.33203125" style="95" customWidth="1"/>
    <col min="7" max="7" width="28.5546875" style="95" customWidth="1"/>
    <col min="8" max="8" width="37.109375" style="95" bestFit="1" customWidth="1"/>
    <col min="9" max="16384" width="9.109375" style="95"/>
  </cols>
  <sheetData>
    <row r="1" spans="1:8" x14ac:dyDescent="0.3">
      <c r="A1" s="375" t="s">
        <v>95</v>
      </c>
    </row>
    <row r="2" spans="1:8" s="96" customFormat="1" x14ac:dyDescent="0.3">
      <c r="A2" s="60" t="s">
        <v>192</v>
      </c>
      <c r="C2" s="97"/>
    </row>
    <row r="3" spans="1:8" s="96" customFormat="1" x14ac:dyDescent="0.3">
      <c r="A3" s="60"/>
      <c r="C3" s="97"/>
    </row>
    <row r="4" spans="1:8" s="96" customFormat="1" x14ac:dyDescent="0.3">
      <c r="A4" s="482" t="s">
        <v>193</v>
      </c>
      <c r="B4" s="482"/>
      <c r="C4" s="482"/>
      <c r="D4" s="482"/>
      <c r="E4" s="482"/>
      <c r="F4" s="482"/>
      <c r="H4" s="258"/>
    </row>
    <row r="5" spans="1:8" s="96" customFormat="1" x14ac:dyDescent="0.3">
      <c r="A5" s="506"/>
      <c r="B5" s="499" t="s">
        <v>165</v>
      </c>
      <c r="C5" s="499" t="s">
        <v>194</v>
      </c>
      <c r="D5" s="482" t="s">
        <v>167</v>
      </c>
      <c r="E5" s="482"/>
      <c r="F5" s="499" t="s">
        <v>113</v>
      </c>
    </row>
    <row r="6" spans="1:8" s="96" customFormat="1" x14ac:dyDescent="0.3">
      <c r="A6" s="506"/>
      <c r="B6" s="500"/>
      <c r="C6" s="500"/>
      <c r="D6" s="228" t="s">
        <v>180</v>
      </c>
      <c r="E6" s="228" t="s">
        <v>169</v>
      </c>
      <c r="F6" s="500"/>
    </row>
    <row r="7" spans="1:8" s="96" customFormat="1" x14ac:dyDescent="0.3">
      <c r="A7" s="506"/>
      <c r="B7" s="232" t="s">
        <v>155</v>
      </c>
      <c r="C7" s="232" t="s">
        <v>155</v>
      </c>
      <c r="D7" s="232" t="s">
        <v>155</v>
      </c>
      <c r="E7" s="232" t="s">
        <v>155</v>
      </c>
      <c r="F7" s="232" t="s">
        <v>155</v>
      </c>
    </row>
    <row r="8" spans="1:8" s="96" customFormat="1" x14ac:dyDescent="0.3">
      <c r="A8" s="236" t="s">
        <v>170</v>
      </c>
      <c r="B8" s="291">
        <f>79107326+944000-1</f>
        <v>80051325</v>
      </c>
      <c r="C8" s="291">
        <v>12797122</v>
      </c>
      <c r="D8" s="420">
        <v>4034555</v>
      </c>
      <c r="E8" s="291">
        <v>2689704</v>
      </c>
      <c r="F8" s="292">
        <f>B8+C8+D8+E8-191000</f>
        <v>99381706</v>
      </c>
      <c r="G8" s="283"/>
    </row>
    <row r="9" spans="1:8" s="96" customFormat="1" x14ac:dyDescent="0.3">
      <c r="A9" s="236" t="s">
        <v>195</v>
      </c>
      <c r="B9" s="291">
        <f>274527694+5287000-2</f>
        <v>279814692</v>
      </c>
      <c r="C9" s="291">
        <v>29842012</v>
      </c>
      <c r="D9" s="291" t="s">
        <v>181</v>
      </c>
      <c r="E9" s="291" t="s">
        <v>181</v>
      </c>
      <c r="F9" s="292">
        <f>B9+C9</f>
        <v>309656704</v>
      </c>
    </row>
    <row r="10" spans="1:8" s="96" customFormat="1" x14ac:dyDescent="0.3">
      <c r="A10" s="236" t="s">
        <v>158</v>
      </c>
      <c r="B10" s="291">
        <f>30677545+1</f>
        <v>30677546</v>
      </c>
      <c r="C10" s="291">
        <v>4860172</v>
      </c>
      <c r="D10" s="291">
        <v>1474551</v>
      </c>
      <c r="E10" s="252" t="s">
        <v>181</v>
      </c>
      <c r="F10" s="292">
        <f>B10+C10+D10</f>
        <v>37012269</v>
      </c>
      <c r="G10" s="283"/>
    </row>
    <row r="11" spans="1:8" s="96" customFormat="1" x14ac:dyDescent="0.3">
      <c r="A11" s="128" t="s">
        <v>113</v>
      </c>
      <c r="B11" s="292">
        <f>B8+B9+B10-191000</f>
        <v>390352563</v>
      </c>
      <c r="C11" s="292">
        <f>C8+C9+C10</f>
        <v>47499306</v>
      </c>
      <c r="D11" s="292">
        <f>D8+D10</f>
        <v>5509106</v>
      </c>
      <c r="E11" s="292">
        <f>E8</f>
        <v>2689704</v>
      </c>
      <c r="F11" s="292">
        <f>F8+F9+F10</f>
        <v>446050679</v>
      </c>
    </row>
    <row r="12" spans="1:8" s="96" customFormat="1" x14ac:dyDescent="0.3">
      <c r="A12" s="410" t="s">
        <v>196</v>
      </c>
      <c r="B12" s="296"/>
      <c r="C12" s="296"/>
      <c r="D12" s="296"/>
      <c r="E12" s="296"/>
      <c r="F12" s="148"/>
      <c r="G12" s="283"/>
    </row>
    <row r="13" spans="1:8" s="96" customFormat="1" x14ac:dyDescent="0.3">
      <c r="A13" s="503" t="s">
        <v>197</v>
      </c>
      <c r="B13" s="504"/>
      <c r="C13" s="504"/>
      <c r="D13" s="504"/>
      <c r="E13" s="504"/>
      <c r="F13" s="505"/>
      <c r="G13" s="283"/>
    </row>
    <row r="14" spans="1:8" s="96" customFormat="1" x14ac:dyDescent="0.3">
      <c r="A14" s="482" t="s">
        <v>198</v>
      </c>
      <c r="B14" s="482"/>
      <c r="C14" s="482"/>
      <c r="D14" s="482"/>
      <c r="E14" s="482"/>
      <c r="F14" s="482"/>
    </row>
    <row r="15" spans="1:8" s="96" customFormat="1" x14ac:dyDescent="0.3">
      <c r="A15" s="482"/>
      <c r="B15" s="490" t="s">
        <v>165</v>
      </c>
      <c r="C15" s="490" t="s">
        <v>194</v>
      </c>
      <c r="D15" s="482" t="s">
        <v>167</v>
      </c>
      <c r="E15" s="482"/>
      <c r="F15" s="490" t="s">
        <v>113</v>
      </c>
    </row>
    <row r="16" spans="1:8" s="96" customFormat="1" x14ac:dyDescent="0.3">
      <c r="A16" s="482"/>
      <c r="B16" s="490"/>
      <c r="C16" s="490"/>
      <c r="D16" s="228" t="s">
        <v>180</v>
      </c>
      <c r="E16" s="228" t="s">
        <v>169</v>
      </c>
      <c r="F16" s="490"/>
    </row>
    <row r="17" spans="1:13" s="96" customFormat="1" x14ac:dyDescent="0.3">
      <c r="A17" s="482"/>
      <c r="B17" s="232" t="s">
        <v>155</v>
      </c>
      <c r="C17" s="232" t="s">
        <v>155</v>
      </c>
      <c r="D17" s="232" t="s">
        <v>155</v>
      </c>
      <c r="E17" s="232" t="s">
        <v>155</v>
      </c>
      <c r="F17" s="230" t="s">
        <v>155</v>
      </c>
    </row>
    <row r="18" spans="1:13" s="96" customFormat="1" x14ac:dyDescent="0.3">
      <c r="A18" s="236" t="s">
        <v>170</v>
      </c>
      <c r="B18" s="291">
        <f>8133739+76000</f>
        <v>8209739</v>
      </c>
      <c r="C18" s="252" t="s">
        <v>181</v>
      </c>
      <c r="D18" s="291">
        <v>365823</v>
      </c>
      <c r="E18" s="291">
        <v>243881.9467</v>
      </c>
      <c r="F18" s="292">
        <f>B18+D18+E18</f>
        <v>8819443.9466999993</v>
      </c>
      <c r="G18" s="283"/>
    </row>
    <row r="19" spans="1:13" s="96" customFormat="1" x14ac:dyDescent="0.3">
      <c r="A19" s="236" t="s">
        <v>157</v>
      </c>
      <c r="B19" s="291">
        <f>16212357+296000</f>
        <v>16508357</v>
      </c>
      <c r="C19" s="252" t="s">
        <v>181</v>
      </c>
      <c r="D19" s="252" t="s">
        <v>181</v>
      </c>
      <c r="E19" s="252" t="s">
        <v>181</v>
      </c>
      <c r="F19" s="292">
        <f>B19</f>
        <v>16508357</v>
      </c>
    </row>
    <row r="20" spans="1:13" s="96" customFormat="1" x14ac:dyDescent="0.3">
      <c r="A20" s="236" t="s">
        <v>158</v>
      </c>
      <c r="B20" s="291">
        <v>3011169</v>
      </c>
      <c r="C20" s="252" t="s">
        <v>181</v>
      </c>
      <c r="D20" s="291">
        <v>136242</v>
      </c>
      <c r="E20" s="252" t="s">
        <v>181</v>
      </c>
      <c r="F20" s="292">
        <f>B20+D20</f>
        <v>3147411</v>
      </c>
      <c r="G20" s="283"/>
    </row>
    <row r="21" spans="1:13" s="96" customFormat="1" x14ac:dyDescent="0.3">
      <c r="A21" s="128" t="s">
        <v>113</v>
      </c>
      <c r="B21" s="292">
        <f>SUM(B18:B20)</f>
        <v>27729265</v>
      </c>
      <c r="C21" s="228" t="s">
        <v>181</v>
      </c>
      <c r="D21" s="292">
        <f>D18+D20</f>
        <v>502065</v>
      </c>
      <c r="E21" s="292">
        <f>E18</f>
        <v>243881.9467</v>
      </c>
      <c r="F21" s="292">
        <f>B21+D21+E21</f>
        <v>28475211.946699999</v>
      </c>
    </row>
    <row r="22" spans="1:13" s="96" customFormat="1" x14ac:dyDescent="0.3">
      <c r="A22" s="26" t="s">
        <v>197</v>
      </c>
      <c r="C22" s="97"/>
      <c r="F22" s="283"/>
    </row>
    <row r="23" spans="1:13" s="96" customFormat="1" x14ac:dyDescent="0.3">
      <c r="A23" s="60"/>
      <c r="C23" s="97"/>
    </row>
    <row r="24" spans="1:13" s="96" customFormat="1" x14ac:dyDescent="0.3">
      <c r="A24" s="482" t="s">
        <v>199</v>
      </c>
      <c r="B24" s="482"/>
      <c r="C24" s="482"/>
      <c r="D24" s="482"/>
      <c r="E24" s="482"/>
      <c r="F24" s="482"/>
    </row>
    <row r="25" spans="1:13" s="96" customFormat="1" x14ac:dyDescent="0.3">
      <c r="A25" s="506"/>
      <c r="B25" s="499" t="s">
        <v>165</v>
      </c>
      <c r="C25" s="499" t="s">
        <v>194</v>
      </c>
      <c r="D25" s="482" t="s">
        <v>167</v>
      </c>
      <c r="E25" s="482"/>
      <c r="F25" s="499" t="s">
        <v>113</v>
      </c>
    </row>
    <row r="26" spans="1:13" x14ac:dyDescent="0.3">
      <c r="A26" s="506"/>
      <c r="B26" s="500"/>
      <c r="C26" s="500"/>
      <c r="D26" s="228" t="s">
        <v>180</v>
      </c>
      <c r="E26" s="228" t="s">
        <v>169</v>
      </c>
      <c r="F26" s="500"/>
      <c r="I26" s="258"/>
      <c r="J26" s="258"/>
      <c r="K26" s="258"/>
      <c r="L26" s="258"/>
      <c r="M26" s="258"/>
    </row>
    <row r="27" spans="1:13" ht="24" customHeight="1" x14ac:dyDescent="0.3">
      <c r="A27" s="506"/>
      <c r="B27" s="232" t="s">
        <v>155</v>
      </c>
      <c r="C27" s="232" t="s">
        <v>155</v>
      </c>
      <c r="D27" s="232" t="s">
        <v>155</v>
      </c>
      <c r="E27" s="232" t="s">
        <v>155</v>
      </c>
      <c r="F27" s="232" t="s">
        <v>155</v>
      </c>
    </row>
    <row r="28" spans="1:13" x14ac:dyDescent="0.3">
      <c r="A28" s="236" t="s">
        <v>170</v>
      </c>
      <c r="B28" s="243">
        <f>77322000-359000+941000</f>
        <v>77904000</v>
      </c>
      <c r="C28" s="243">
        <v>12695000</v>
      </c>
      <c r="D28" s="282">
        <v>3948000</v>
      </c>
      <c r="E28" s="243">
        <v>2631000</v>
      </c>
      <c r="F28" s="89">
        <f>SUM(B28:E28)</f>
        <v>97178000</v>
      </c>
    </row>
    <row r="29" spans="1:13" x14ac:dyDescent="0.3">
      <c r="A29" s="236" t="s">
        <v>195</v>
      </c>
      <c r="B29" s="243">
        <f>271623956+5269000-212</f>
        <v>276892744</v>
      </c>
      <c r="C29" s="243">
        <v>29386919</v>
      </c>
      <c r="D29" s="252" t="s">
        <v>181</v>
      </c>
      <c r="E29" s="252" t="s">
        <v>181</v>
      </c>
      <c r="F29" s="89">
        <f t="shared" ref="F29:F30" si="0">SUM(B29:E29)</f>
        <v>306279663</v>
      </c>
    </row>
    <row r="30" spans="1:13" x14ac:dyDescent="0.3">
      <c r="A30" s="236" t="s">
        <v>158</v>
      </c>
      <c r="B30" s="243">
        <v>30237319</v>
      </c>
      <c r="C30" s="243">
        <v>4783651</v>
      </c>
      <c r="D30" s="243">
        <v>1457078</v>
      </c>
      <c r="E30" s="252" t="s">
        <v>181</v>
      </c>
      <c r="F30" s="89">
        <f t="shared" si="0"/>
        <v>36478048</v>
      </c>
      <c r="G30" s="110"/>
    </row>
    <row r="31" spans="1:13" x14ac:dyDescent="0.3">
      <c r="A31" s="128" t="s">
        <v>113</v>
      </c>
      <c r="B31" s="89">
        <f>SUM(B28:B30)</f>
        <v>385034063</v>
      </c>
      <c r="C31" s="89">
        <f>SUM(C28:C30)</f>
        <v>46865570</v>
      </c>
      <c r="D31" s="89">
        <f>SUM(D28:D30)</f>
        <v>5405078</v>
      </c>
      <c r="E31" s="89">
        <f>SUM(E28:E30)</f>
        <v>2631000</v>
      </c>
      <c r="F31" s="89">
        <f>SUM(B31:E31)</f>
        <v>439935711</v>
      </c>
      <c r="G31" s="110"/>
    </row>
    <row r="32" spans="1:13" x14ac:dyDescent="0.3">
      <c r="A32" s="410" t="s">
        <v>200</v>
      </c>
      <c r="B32" s="296"/>
      <c r="C32" s="296"/>
      <c r="D32" s="296"/>
      <c r="E32" s="296"/>
      <c r="F32" s="148"/>
      <c r="G32" s="110"/>
    </row>
    <row r="33" spans="1:7" x14ac:dyDescent="0.3">
      <c r="A33" s="507"/>
      <c r="B33" s="508"/>
      <c r="C33" s="508"/>
      <c r="D33" s="508"/>
      <c r="E33" s="508"/>
      <c r="F33" s="509"/>
      <c r="G33" s="110"/>
    </row>
    <row r="34" spans="1:7" x14ac:dyDescent="0.3">
      <c r="A34" s="482" t="s">
        <v>201</v>
      </c>
      <c r="B34" s="482"/>
      <c r="C34" s="482"/>
      <c r="D34" s="482"/>
      <c r="E34" s="482"/>
      <c r="F34" s="482"/>
      <c r="G34" s="110"/>
    </row>
    <row r="35" spans="1:7" x14ac:dyDescent="0.3">
      <c r="A35" s="482"/>
      <c r="B35" s="490" t="s">
        <v>165</v>
      </c>
      <c r="C35" s="490" t="s">
        <v>194</v>
      </c>
      <c r="D35" s="482" t="s">
        <v>167</v>
      </c>
      <c r="E35" s="482"/>
      <c r="F35" s="490" t="s">
        <v>113</v>
      </c>
      <c r="G35" s="110"/>
    </row>
    <row r="36" spans="1:7" ht="15.75" customHeight="1" x14ac:dyDescent="0.3">
      <c r="A36" s="482"/>
      <c r="B36" s="490"/>
      <c r="C36" s="490"/>
      <c r="D36" s="228" t="s">
        <v>180</v>
      </c>
      <c r="E36" s="228" t="s">
        <v>169</v>
      </c>
      <c r="F36" s="490"/>
      <c r="G36" s="110"/>
    </row>
    <row r="37" spans="1:7" x14ac:dyDescent="0.3">
      <c r="A37" s="482"/>
      <c r="B37" s="232" t="s">
        <v>155</v>
      </c>
      <c r="C37" s="232" t="s">
        <v>155</v>
      </c>
      <c r="D37" s="232" t="s">
        <v>155</v>
      </c>
      <c r="E37" s="232" t="s">
        <v>155</v>
      </c>
      <c r="F37" s="230" t="s">
        <v>155</v>
      </c>
      <c r="G37" s="110"/>
    </row>
    <row r="38" spans="1:7" x14ac:dyDescent="0.3">
      <c r="A38" s="236" t="s">
        <v>170</v>
      </c>
      <c r="B38" s="243">
        <f>7459000+76000</f>
        <v>7535000</v>
      </c>
      <c r="C38" s="252" t="s">
        <v>181</v>
      </c>
      <c r="D38" s="243">
        <v>334999</v>
      </c>
      <c r="E38" s="243">
        <v>223332</v>
      </c>
      <c r="F38" s="89">
        <f>SUM(B38:E38)</f>
        <v>8093331</v>
      </c>
      <c r="G38" s="110"/>
    </row>
    <row r="39" spans="1:7" x14ac:dyDescent="0.3">
      <c r="A39" s="236" t="s">
        <v>157</v>
      </c>
      <c r="B39" s="243">
        <f>15980000+295000+641</f>
        <v>16275641</v>
      </c>
      <c r="C39" s="252" t="s">
        <v>181</v>
      </c>
      <c r="D39" s="252" t="s">
        <v>181</v>
      </c>
      <c r="E39" s="252" t="s">
        <v>181</v>
      </c>
      <c r="F39" s="89">
        <f t="shared" ref="F39:F40" si="1">SUM(B39:E39)</f>
        <v>16275641</v>
      </c>
      <c r="G39" s="110"/>
    </row>
    <row r="40" spans="1:7" x14ac:dyDescent="0.3">
      <c r="A40" s="236" t="s">
        <v>158</v>
      </c>
      <c r="B40" s="243">
        <v>3031000</v>
      </c>
      <c r="C40" s="252" t="s">
        <v>181</v>
      </c>
      <c r="D40" s="243">
        <v>137268</v>
      </c>
      <c r="E40" s="252" t="s">
        <v>181</v>
      </c>
      <c r="F40" s="89">
        <f t="shared" si="1"/>
        <v>3168268</v>
      </c>
      <c r="G40" s="110"/>
    </row>
    <row r="41" spans="1:7" x14ac:dyDescent="0.3">
      <c r="A41" s="128" t="s">
        <v>113</v>
      </c>
      <c r="B41" s="89">
        <f>SUM(B38:B40)</f>
        <v>26841641</v>
      </c>
      <c r="C41" s="228" t="s">
        <v>181</v>
      </c>
      <c r="D41" s="89">
        <f>D38+D40</f>
        <v>472267</v>
      </c>
      <c r="E41" s="89">
        <f>E38</f>
        <v>223332</v>
      </c>
      <c r="F41" s="89">
        <f>SUM(F38:F40)</f>
        <v>27537240</v>
      </c>
      <c r="G41" s="110"/>
    </row>
    <row r="42" spans="1:7" x14ac:dyDescent="0.3">
      <c r="A42" s="26" t="s">
        <v>197</v>
      </c>
      <c r="F42" s="110"/>
      <c r="G42" s="110"/>
    </row>
    <row r="43" spans="1:7" x14ac:dyDescent="0.3">
      <c r="A43" s="60"/>
      <c r="B43" s="96"/>
      <c r="C43" s="97"/>
      <c r="D43" s="96"/>
      <c r="E43" s="96"/>
      <c r="F43" s="96"/>
    </row>
    <row r="44" spans="1:7" x14ac:dyDescent="0.3">
      <c r="A44" s="60"/>
      <c r="B44" s="96"/>
      <c r="C44" s="97"/>
      <c r="D44" s="96"/>
      <c r="E44" s="96"/>
      <c r="F44" s="96"/>
    </row>
    <row r="45" spans="1:7" x14ac:dyDescent="0.3">
      <c r="A45" s="482" t="s">
        <v>202</v>
      </c>
      <c r="B45" s="482"/>
      <c r="C45" s="482"/>
      <c r="D45" s="482"/>
      <c r="E45" s="482"/>
      <c r="F45" s="482"/>
    </row>
    <row r="46" spans="1:7" x14ac:dyDescent="0.3">
      <c r="A46" s="506"/>
      <c r="B46" s="499" t="s">
        <v>165</v>
      </c>
      <c r="C46" s="499" t="s">
        <v>194</v>
      </c>
      <c r="D46" s="482" t="s">
        <v>167</v>
      </c>
      <c r="E46" s="482"/>
      <c r="F46" s="499" t="s">
        <v>113</v>
      </c>
    </row>
    <row r="47" spans="1:7" x14ac:dyDescent="0.3">
      <c r="A47" s="506"/>
      <c r="B47" s="500"/>
      <c r="C47" s="500"/>
      <c r="D47" s="228" t="s">
        <v>180</v>
      </c>
      <c r="E47" s="228" t="s">
        <v>169</v>
      </c>
      <c r="F47" s="500"/>
    </row>
    <row r="48" spans="1:7" x14ac:dyDescent="0.3">
      <c r="A48" s="506"/>
      <c r="B48" s="232" t="s">
        <v>155</v>
      </c>
      <c r="C48" s="232" t="s">
        <v>155</v>
      </c>
      <c r="D48" s="232" t="s">
        <v>155</v>
      </c>
      <c r="E48" s="232" t="s">
        <v>155</v>
      </c>
      <c r="F48" s="232" t="s">
        <v>155</v>
      </c>
    </row>
    <row r="49" spans="1:7" x14ac:dyDescent="0.3">
      <c r="A49" s="236" t="s">
        <v>170</v>
      </c>
      <c r="B49" s="243">
        <v>74932000</v>
      </c>
      <c r="C49" s="243">
        <v>12631000</v>
      </c>
      <c r="D49" s="243">
        <v>3810000</v>
      </c>
      <c r="E49" s="243">
        <v>2540000</v>
      </c>
      <c r="F49" s="89">
        <v>93913000</v>
      </c>
    </row>
    <row r="50" spans="1:7" x14ac:dyDescent="0.3">
      <c r="A50" s="236" t="s">
        <v>157</v>
      </c>
      <c r="B50" s="243">
        <v>274657144</v>
      </c>
      <c r="C50" s="243">
        <v>28832958</v>
      </c>
      <c r="D50" s="252" t="s">
        <v>181</v>
      </c>
      <c r="E50" s="252" t="s">
        <v>181</v>
      </c>
      <c r="F50" s="89">
        <v>303490102</v>
      </c>
    </row>
    <row r="51" spans="1:7" x14ac:dyDescent="0.3">
      <c r="A51" s="236" t="s">
        <v>158</v>
      </c>
      <c r="B51" s="243">
        <v>30450957</v>
      </c>
      <c r="C51" s="243">
        <v>4818997</v>
      </c>
      <c r="D51" s="243">
        <v>1466495</v>
      </c>
      <c r="E51" s="252" t="s">
        <v>181</v>
      </c>
      <c r="F51" s="89">
        <v>36736449</v>
      </c>
    </row>
    <row r="52" spans="1:7" x14ac:dyDescent="0.3">
      <c r="A52" s="128" t="s">
        <v>113</v>
      </c>
      <c r="B52" s="243">
        <v>380040101</v>
      </c>
      <c r="C52" s="243">
        <v>46282955</v>
      </c>
      <c r="D52" s="243">
        <v>5276495</v>
      </c>
      <c r="E52" s="243">
        <v>2540000</v>
      </c>
      <c r="F52" s="89">
        <v>434139551</v>
      </c>
      <c r="G52" s="110"/>
    </row>
    <row r="53" spans="1:7" x14ac:dyDescent="0.3">
      <c r="A53" s="507"/>
      <c r="B53" s="508"/>
      <c r="C53" s="508"/>
      <c r="D53" s="508"/>
      <c r="E53" s="508"/>
      <c r="F53" s="509"/>
    </row>
    <row r="54" spans="1:7" ht="15.75" customHeight="1" x14ac:dyDescent="0.3">
      <c r="A54" s="482" t="s">
        <v>203</v>
      </c>
      <c r="B54" s="482"/>
      <c r="C54" s="482"/>
      <c r="D54" s="482"/>
      <c r="E54" s="482"/>
      <c r="F54" s="482"/>
    </row>
    <row r="55" spans="1:7" x14ac:dyDescent="0.3">
      <c r="A55" s="482"/>
      <c r="B55" s="490" t="s">
        <v>165</v>
      </c>
      <c r="C55" s="490" t="s">
        <v>194</v>
      </c>
      <c r="D55" s="482" t="s">
        <v>167</v>
      </c>
      <c r="E55" s="482"/>
      <c r="F55" s="490" t="s">
        <v>113</v>
      </c>
    </row>
    <row r="56" spans="1:7" x14ac:dyDescent="0.3">
      <c r="A56" s="482"/>
      <c r="B56" s="490"/>
      <c r="C56" s="490"/>
      <c r="D56" s="228" t="s">
        <v>180</v>
      </c>
      <c r="E56" s="228" t="s">
        <v>169</v>
      </c>
      <c r="F56" s="490"/>
    </row>
    <row r="57" spans="1:7" x14ac:dyDescent="0.3">
      <c r="A57" s="482"/>
      <c r="B57" s="232" t="s">
        <v>155</v>
      </c>
      <c r="C57" s="232" t="s">
        <v>155</v>
      </c>
      <c r="D57" s="232" t="s">
        <v>155</v>
      </c>
      <c r="E57" s="232" t="s">
        <v>155</v>
      </c>
      <c r="F57" s="230" t="s">
        <v>155</v>
      </c>
    </row>
    <row r="58" spans="1:7" x14ac:dyDescent="0.3">
      <c r="A58" s="236" t="s">
        <v>170</v>
      </c>
      <c r="B58" s="243">
        <v>7187000</v>
      </c>
      <c r="C58" s="252" t="s">
        <v>181</v>
      </c>
      <c r="D58" s="243">
        <v>320000</v>
      </c>
      <c r="E58" s="243">
        <v>213000</v>
      </c>
      <c r="F58" s="89">
        <v>7720000</v>
      </c>
    </row>
    <row r="59" spans="1:7" x14ac:dyDescent="0.3">
      <c r="A59" s="236" t="s">
        <v>157</v>
      </c>
      <c r="B59" s="243">
        <v>16040852</v>
      </c>
      <c r="C59" s="252" t="s">
        <v>181</v>
      </c>
      <c r="D59" s="252" t="s">
        <v>181</v>
      </c>
      <c r="E59" s="252" t="s">
        <v>181</v>
      </c>
      <c r="F59" s="89">
        <v>16040852</v>
      </c>
    </row>
    <row r="60" spans="1:7" x14ac:dyDescent="0.3">
      <c r="A60" s="236" t="s">
        <v>158</v>
      </c>
      <c r="B60" s="243">
        <v>3108930</v>
      </c>
      <c r="C60" s="252" t="s">
        <v>181</v>
      </c>
      <c r="D60" s="243">
        <v>140904</v>
      </c>
      <c r="E60" s="252" t="s">
        <v>181</v>
      </c>
      <c r="F60" s="89">
        <v>3249834</v>
      </c>
    </row>
    <row r="61" spans="1:7" x14ac:dyDescent="0.3">
      <c r="A61" s="128" t="s">
        <v>113</v>
      </c>
      <c r="B61" s="89">
        <v>26336782</v>
      </c>
      <c r="C61" s="228" t="s">
        <v>181</v>
      </c>
      <c r="D61" s="89">
        <v>460904</v>
      </c>
      <c r="E61" s="89">
        <v>213000</v>
      </c>
      <c r="F61" s="89">
        <v>27010686</v>
      </c>
      <c r="G61" s="110"/>
    </row>
    <row r="62" spans="1:7" x14ac:dyDescent="0.3">
      <c r="A62" s="26" t="s">
        <v>197</v>
      </c>
    </row>
    <row r="64" spans="1:7" x14ac:dyDescent="0.3">
      <c r="A64" s="491" t="s">
        <v>204</v>
      </c>
      <c r="B64" s="491"/>
      <c r="C64" s="491"/>
      <c r="D64" s="491"/>
      <c r="E64" s="491"/>
      <c r="F64" s="491"/>
    </row>
    <row r="65" spans="1:6" x14ac:dyDescent="0.3">
      <c r="A65" s="491" t="s">
        <v>205</v>
      </c>
      <c r="B65" s="491" t="s">
        <v>165</v>
      </c>
      <c r="C65" s="499" t="s">
        <v>194</v>
      </c>
      <c r="D65" s="491" t="s">
        <v>206</v>
      </c>
      <c r="E65" s="491"/>
      <c r="F65" s="492" t="s">
        <v>207</v>
      </c>
    </row>
    <row r="66" spans="1:6" x14ac:dyDescent="0.3">
      <c r="A66" s="491"/>
      <c r="B66" s="491"/>
      <c r="C66" s="500"/>
      <c r="D66" s="234" t="s">
        <v>180</v>
      </c>
      <c r="E66" s="234" t="s">
        <v>208</v>
      </c>
      <c r="F66" s="493"/>
    </row>
    <row r="67" spans="1:6" x14ac:dyDescent="0.3">
      <c r="A67" s="234"/>
      <c r="B67" s="232" t="s">
        <v>155</v>
      </c>
      <c r="C67" s="232" t="s">
        <v>155</v>
      </c>
      <c r="D67" s="232" t="s">
        <v>155</v>
      </c>
      <c r="E67" s="232" t="s">
        <v>155</v>
      </c>
      <c r="F67" s="230" t="s">
        <v>155</v>
      </c>
    </row>
    <row r="68" spans="1:6" x14ac:dyDescent="0.3">
      <c r="A68" s="22" t="s">
        <v>209</v>
      </c>
      <c r="B68" s="243">
        <v>72122000</v>
      </c>
      <c r="C68" s="242">
        <v>12306000</v>
      </c>
      <c r="D68" s="243">
        <v>3687000</v>
      </c>
      <c r="E68" s="243">
        <v>2458000</v>
      </c>
      <c r="F68" s="89">
        <v>90573000</v>
      </c>
    </row>
    <row r="69" spans="1:6" x14ac:dyDescent="0.3">
      <c r="A69" s="22" t="s">
        <v>210</v>
      </c>
      <c r="B69" s="243">
        <v>272036027</v>
      </c>
      <c r="C69" s="242">
        <v>27999536</v>
      </c>
      <c r="D69" s="252" t="s">
        <v>211</v>
      </c>
      <c r="E69" s="252" t="s">
        <v>211</v>
      </c>
      <c r="F69" s="89">
        <v>300035563</v>
      </c>
    </row>
    <row r="70" spans="1:6" x14ac:dyDescent="0.3">
      <c r="A70" s="22" t="s">
        <v>212</v>
      </c>
      <c r="B70" s="243">
        <v>30008195</v>
      </c>
      <c r="C70" s="242">
        <v>4731833</v>
      </c>
      <c r="D70" s="243">
        <v>1441871</v>
      </c>
      <c r="E70" s="252" t="s">
        <v>211</v>
      </c>
      <c r="F70" s="89">
        <v>36181898</v>
      </c>
    </row>
    <row r="71" spans="1:6" x14ac:dyDescent="0.3">
      <c r="A71" s="128" t="s">
        <v>207</v>
      </c>
      <c r="B71" s="89">
        <v>374166221</v>
      </c>
      <c r="C71" s="232">
        <v>45037369</v>
      </c>
      <c r="D71" s="89">
        <v>5128871</v>
      </c>
      <c r="E71" s="89">
        <v>2458000</v>
      </c>
      <c r="F71" s="89">
        <v>426790461</v>
      </c>
    </row>
    <row r="72" spans="1:6" x14ac:dyDescent="0.3">
      <c r="A72" s="513"/>
      <c r="B72" s="514"/>
      <c r="C72" s="514"/>
      <c r="D72" s="514"/>
      <c r="E72" s="514"/>
      <c r="F72" s="515"/>
    </row>
    <row r="73" spans="1:6" x14ac:dyDescent="0.3">
      <c r="A73" s="510" t="s">
        <v>213</v>
      </c>
      <c r="B73" s="511"/>
      <c r="C73" s="511"/>
      <c r="D73" s="511"/>
      <c r="E73" s="511"/>
      <c r="F73" s="512"/>
    </row>
    <row r="74" spans="1:6" x14ac:dyDescent="0.3">
      <c r="A74" s="491" t="s">
        <v>205</v>
      </c>
      <c r="B74" s="491" t="s">
        <v>214</v>
      </c>
      <c r="C74" s="499" t="s">
        <v>194</v>
      </c>
      <c r="D74" s="491" t="s">
        <v>206</v>
      </c>
      <c r="E74" s="491"/>
      <c r="F74" s="492" t="s">
        <v>207</v>
      </c>
    </row>
    <row r="75" spans="1:6" x14ac:dyDescent="0.3">
      <c r="A75" s="491"/>
      <c r="B75" s="491"/>
      <c r="C75" s="500"/>
      <c r="D75" s="234" t="s">
        <v>180</v>
      </c>
      <c r="E75" s="234" t="s">
        <v>208</v>
      </c>
      <c r="F75" s="493"/>
    </row>
    <row r="76" spans="1:6" x14ac:dyDescent="0.3">
      <c r="A76" s="234"/>
      <c r="B76" s="232" t="s">
        <v>155</v>
      </c>
      <c r="C76" s="232" t="s">
        <v>155</v>
      </c>
      <c r="D76" s="232" t="s">
        <v>155</v>
      </c>
      <c r="E76" s="232" t="s">
        <v>155</v>
      </c>
      <c r="F76" s="230" t="s">
        <v>155</v>
      </c>
    </row>
    <row r="77" spans="1:6" x14ac:dyDescent="0.3">
      <c r="A77" s="22" t="s">
        <v>209</v>
      </c>
      <c r="B77" s="243">
        <v>6777000</v>
      </c>
      <c r="C77" s="252" t="s">
        <v>181</v>
      </c>
      <c r="D77" s="243">
        <v>301000</v>
      </c>
      <c r="E77" s="243">
        <v>201000</v>
      </c>
      <c r="F77" s="89">
        <v>7279000</v>
      </c>
    </row>
    <row r="78" spans="1:6" x14ac:dyDescent="0.3">
      <c r="A78" s="22" t="s">
        <v>210</v>
      </c>
      <c r="B78" s="243">
        <v>15966914</v>
      </c>
      <c r="C78" s="252" t="s">
        <v>181</v>
      </c>
      <c r="D78" s="252" t="s">
        <v>211</v>
      </c>
      <c r="E78" s="252" t="s">
        <v>211</v>
      </c>
      <c r="F78" s="89">
        <v>15966914</v>
      </c>
    </row>
    <row r="79" spans="1:6" x14ac:dyDescent="0.3">
      <c r="A79" s="22" t="s">
        <v>212</v>
      </c>
      <c r="B79" s="243">
        <v>3183758</v>
      </c>
      <c r="C79" s="252" t="s">
        <v>181</v>
      </c>
      <c r="D79" s="243">
        <v>144448</v>
      </c>
      <c r="E79" s="252" t="s">
        <v>211</v>
      </c>
      <c r="F79" s="89">
        <v>3328206</v>
      </c>
    </row>
    <row r="80" spans="1:6" x14ac:dyDescent="0.3">
      <c r="A80" s="128" t="s">
        <v>207</v>
      </c>
      <c r="B80" s="89">
        <v>25927672</v>
      </c>
      <c r="C80" s="228" t="s">
        <v>181</v>
      </c>
      <c r="D80" s="89">
        <v>445448</v>
      </c>
      <c r="E80" s="89">
        <v>201000</v>
      </c>
      <c r="F80" s="89">
        <v>226574120</v>
      </c>
    </row>
    <row r="81" spans="1:1" x14ac:dyDescent="0.3">
      <c r="A81" s="26" t="s">
        <v>197</v>
      </c>
    </row>
  </sheetData>
  <mergeCells count="52">
    <mergeCell ref="A55:A57"/>
    <mergeCell ref="D55:E55"/>
    <mergeCell ref="C46:C47"/>
    <mergeCell ref="B46:B47"/>
    <mergeCell ref="A53:F53"/>
    <mergeCell ref="B55:B56"/>
    <mergeCell ref="C55:C56"/>
    <mergeCell ref="F55:F56"/>
    <mergeCell ref="A45:F45"/>
    <mergeCell ref="A46:A48"/>
    <mergeCell ref="D46:E46"/>
    <mergeCell ref="A54:F54"/>
    <mergeCell ref="F46:F47"/>
    <mergeCell ref="A74:A75"/>
    <mergeCell ref="B74:B75"/>
    <mergeCell ref="D74:E74"/>
    <mergeCell ref="A64:F64"/>
    <mergeCell ref="A65:A66"/>
    <mergeCell ref="B65:B66"/>
    <mergeCell ref="D65:E65"/>
    <mergeCell ref="C65:C66"/>
    <mergeCell ref="F65:F66"/>
    <mergeCell ref="A73:F73"/>
    <mergeCell ref="A72:F72"/>
    <mergeCell ref="C74:C75"/>
    <mergeCell ref="F74:F75"/>
    <mergeCell ref="A24:F24"/>
    <mergeCell ref="A25:A27"/>
    <mergeCell ref="B25:B26"/>
    <mergeCell ref="C25:C26"/>
    <mergeCell ref="D25:E25"/>
    <mergeCell ref="F25:F26"/>
    <mergeCell ref="A33:F33"/>
    <mergeCell ref="A34:F34"/>
    <mergeCell ref="A35:A37"/>
    <mergeCell ref="B35:B36"/>
    <mergeCell ref="C35:C36"/>
    <mergeCell ref="D35:E35"/>
    <mergeCell ref="F35:F36"/>
    <mergeCell ref="A4:F4"/>
    <mergeCell ref="A5:A7"/>
    <mergeCell ref="B5:B6"/>
    <mergeCell ref="C5:C6"/>
    <mergeCell ref="D5:E5"/>
    <mergeCell ref="F5:F6"/>
    <mergeCell ref="A13:F13"/>
    <mergeCell ref="A14:F14"/>
    <mergeCell ref="A15:A17"/>
    <mergeCell ref="B15:B16"/>
    <mergeCell ref="C15:C16"/>
    <mergeCell ref="D15:E15"/>
    <mergeCell ref="F15:F16"/>
  </mergeCells>
  <hyperlinks>
    <hyperlink ref="A1" location="Inhoud!A1" display="Terug naar inhoud" xr:uid="{86EB21A9-611F-4A5A-9012-205B726C53B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83B4C-85BA-4D06-9EB1-85A9F4D94284}">
  <sheetPr codeName="Blad9"/>
  <dimension ref="A1:P30"/>
  <sheetViews>
    <sheetView workbookViewId="0">
      <selection activeCell="M30" sqref="M30"/>
    </sheetView>
  </sheetViews>
  <sheetFormatPr defaultColWidth="9.109375" defaultRowHeight="14.4" x14ac:dyDescent="0.3"/>
  <cols>
    <col min="1" max="1" width="42.44140625" style="41" customWidth="1"/>
    <col min="2" max="2" width="9.109375" style="41" bestFit="1" customWidth="1"/>
    <col min="3" max="3" width="10.44140625" style="41" customWidth="1"/>
    <col min="4" max="4" width="6" style="7" bestFit="1" customWidth="1"/>
    <col min="5" max="5" width="10.88671875" style="7" customWidth="1"/>
    <col min="6" max="6" width="6" style="7" bestFit="1" customWidth="1"/>
    <col min="7" max="7" width="11" style="7" bestFit="1" customWidth="1"/>
    <col min="8" max="8" width="9.6640625" style="7" bestFit="1" customWidth="1"/>
    <col min="9" max="9" width="11.5546875" style="7" customWidth="1"/>
    <col min="10" max="10" width="7.109375" style="7" bestFit="1" customWidth="1"/>
    <col min="11" max="11" width="12" style="7" bestFit="1" customWidth="1"/>
    <col min="12" max="12" width="12" style="7" customWidth="1"/>
    <col min="13" max="13" width="14.44140625" style="7" bestFit="1" customWidth="1"/>
    <col min="14" max="14" width="17.109375" style="7" bestFit="1" customWidth="1"/>
    <col min="15" max="15" width="9.5546875" style="7" customWidth="1"/>
    <col min="16" max="16" width="10.5546875" style="7" customWidth="1"/>
    <col min="17" max="16384" width="9.109375" style="7"/>
  </cols>
  <sheetData>
    <row r="1" spans="1:16" x14ac:dyDescent="0.3">
      <c r="A1" s="376" t="s">
        <v>95</v>
      </c>
    </row>
    <row r="2" spans="1:16" x14ac:dyDescent="0.3">
      <c r="A2" s="8" t="s">
        <v>215</v>
      </c>
      <c r="B2" s="8"/>
      <c r="C2" s="8"/>
    </row>
    <row r="3" spans="1:16" x14ac:dyDescent="0.3">
      <c r="A3" s="516" t="s">
        <v>216</v>
      </c>
      <c r="B3" s="486" t="s">
        <v>97</v>
      </c>
      <c r="C3" s="486"/>
      <c r="D3" s="484" t="s">
        <v>98</v>
      </c>
      <c r="E3" s="482"/>
      <c r="F3" s="482" t="s">
        <v>99</v>
      </c>
      <c r="G3" s="482"/>
      <c r="H3" s="482" t="s">
        <v>100</v>
      </c>
      <c r="I3" s="482"/>
      <c r="J3" s="487" t="s">
        <v>101</v>
      </c>
      <c r="K3" s="484"/>
      <c r="L3" s="487" t="s">
        <v>102</v>
      </c>
      <c r="M3" s="484"/>
      <c r="N3" s="490" t="s">
        <v>116</v>
      </c>
    </row>
    <row r="4" spans="1:16" ht="59.4" x14ac:dyDescent="0.3">
      <c r="A4" s="516"/>
      <c r="B4" s="157" t="s">
        <v>217</v>
      </c>
      <c r="C4" s="231" t="s">
        <v>155</v>
      </c>
      <c r="D4" s="158" t="s">
        <v>217</v>
      </c>
      <c r="E4" s="228" t="s">
        <v>155</v>
      </c>
      <c r="F4" s="72" t="s">
        <v>217</v>
      </c>
      <c r="G4" s="228" t="s">
        <v>155</v>
      </c>
      <c r="H4" s="72" t="s">
        <v>218</v>
      </c>
      <c r="I4" s="228" t="s">
        <v>155</v>
      </c>
      <c r="J4" s="72" t="s">
        <v>218</v>
      </c>
      <c r="K4" s="228" t="s">
        <v>155</v>
      </c>
      <c r="L4" s="72" t="s">
        <v>218</v>
      </c>
      <c r="M4" s="228" t="s">
        <v>155</v>
      </c>
      <c r="N4" s="490"/>
    </row>
    <row r="5" spans="1:16" x14ac:dyDescent="0.3">
      <c r="A5" s="150" t="s">
        <v>219</v>
      </c>
      <c r="B5" s="242" t="s">
        <v>185</v>
      </c>
      <c r="C5" s="242" t="s">
        <v>185</v>
      </c>
      <c r="D5" s="151">
        <v>157</v>
      </c>
      <c r="E5" s="243">
        <v>5901162</v>
      </c>
      <c r="F5" s="242">
        <v>155</v>
      </c>
      <c r="G5" s="243">
        <v>6767354</v>
      </c>
      <c r="H5" s="242">
        <v>157</v>
      </c>
      <c r="I5" s="243">
        <v>7035893</v>
      </c>
      <c r="J5" s="243">
        <v>144</v>
      </c>
      <c r="K5" s="243">
        <v>9298748.0900000036</v>
      </c>
      <c r="L5" s="243">
        <v>149</v>
      </c>
      <c r="M5" s="243">
        <v>9744776</v>
      </c>
      <c r="N5" s="244">
        <f>(M5-K5)/K5</f>
        <v>4.7966447276882436E-2</v>
      </c>
      <c r="P5" s="120"/>
    </row>
    <row r="6" spans="1:16" x14ac:dyDescent="0.3">
      <c r="A6" s="150" t="s">
        <v>220</v>
      </c>
      <c r="B6" s="142">
        <v>2607</v>
      </c>
      <c r="C6" s="142">
        <v>4007000</v>
      </c>
      <c r="D6" s="151">
        <v>2617</v>
      </c>
      <c r="E6" s="243">
        <v>4007000</v>
      </c>
      <c r="F6" s="243">
        <v>2624</v>
      </c>
      <c r="G6" s="243">
        <v>4007000</v>
      </c>
      <c r="H6" s="243">
        <v>2661</v>
      </c>
      <c r="I6" s="243">
        <v>4007000</v>
      </c>
      <c r="J6" s="243">
        <f>2482+198</f>
        <v>2680</v>
      </c>
      <c r="K6" s="243">
        <v>4007000</v>
      </c>
      <c r="L6" s="243">
        <v>2686</v>
      </c>
      <c r="M6" s="243">
        <v>4007000</v>
      </c>
      <c r="N6" s="244">
        <f t="shared" ref="N6:N13" si="0">(M6-K6)/K6</f>
        <v>0</v>
      </c>
    </row>
    <row r="7" spans="1:16" x14ac:dyDescent="0.3">
      <c r="A7" s="150" t="s">
        <v>221</v>
      </c>
      <c r="B7" s="142">
        <v>603</v>
      </c>
      <c r="C7" s="142">
        <v>448250</v>
      </c>
      <c r="D7" s="151">
        <v>585</v>
      </c>
      <c r="E7" s="243">
        <v>431325</v>
      </c>
      <c r="F7" s="242">
        <v>650</v>
      </c>
      <c r="G7" s="243">
        <v>437600</v>
      </c>
      <c r="H7" s="242">
        <v>632</v>
      </c>
      <c r="I7" s="243">
        <v>486563</v>
      </c>
      <c r="J7" s="243">
        <v>560</v>
      </c>
      <c r="K7" s="243">
        <v>348512.5</v>
      </c>
      <c r="L7" s="243">
        <v>882</v>
      </c>
      <c r="M7" s="243">
        <v>478313</v>
      </c>
      <c r="N7" s="244">
        <f t="shared" si="0"/>
        <v>0.37244144758078979</v>
      </c>
    </row>
    <row r="8" spans="1:16" x14ac:dyDescent="0.3">
      <c r="A8" s="150" t="s">
        <v>222</v>
      </c>
      <c r="B8" s="142">
        <v>2608</v>
      </c>
      <c r="C8" s="142">
        <v>645330</v>
      </c>
      <c r="D8" s="241">
        <v>2619</v>
      </c>
      <c r="E8" s="243">
        <v>651607</v>
      </c>
      <c r="F8" s="243">
        <v>2627</v>
      </c>
      <c r="G8" s="243">
        <v>654814</v>
      </c>
      <c r="H8" s="243">
        <v>2645</v>
      </c>
      <c r="I8" s="243">
        <v>617128</v>
      </c>
      <c r="J8" s="243">
        <v>2673</v>
      </c>
      <c r="K8" s="243">
        <v>617349.49000000011</v>
      </c>
      <c r="L8" s="243">
        <v>2702</v>
      </c>
      <c r="M8" s="243">
        <v>600131</v>
      </c>
      <c r="N8" s="244">
        <f t="shared" si="0"/>
        <v>-2.7890992507339892E-2</v>
      </c>
    </row>
    <row r="9" spans="1:16" x14ac:dyDescent="0.3">
      <c r="A9" s="150" t="s">
        <v>223</v>
      </c>
      <c r="B9" s="142">
        <v>91</v>
      </c>
      <c r="C9" s="142">
        <v>23306</v>
      </c>
      <c r="D9" s="151">
        <v>86</v>
      </c>
      <c r="E9" s="243">
        <v>43932</v>
      </c>
      <c r="F9" s="242">
        <v>91</v>
      </c>
      <c r="G9" s="243">
        <v>70087</v>
      </c>
      <c r="H9" s="242">
        <v>132</v>
      </c>
      <c r="I9" s="243">
        <v>98088</v>
      </c>
      <c r="J9" s="243">
        <v>126</v>
      </c>
      <c r="K9" s="243">
        <v>66027.499999999985</v>
      </c>
      <c r="L9" s="243">
        <v>132</v>
      </c>
      <c r="M9" s="243">
        <v>93874</v>
      </c>
      <c r="N9" s="244">
        <f t="shared" si="0"/>
        <v>0.42174094127446926</v>
      </c>
    </row>
    <row r="10" spans="1:16" x14ac:dyDescent="0.3">
      <c r="A10" s="150" t="s">
        <v>224</v>
      </c>
      <c r="B10" s="142">
        <v>15</v>
      </c>
      <c r="C10" s="142">
        <v>131141</v>
      </c>
      <c r="D10" s="151">
        <v>11</v>
      </c>
      <c r="E10" s="243">
        <v>130733</v>
      </c>
      <c r="F10" s="242">
        <v>10</v>
      </c>
      <c r="G10" s="243">
        <v>127168</v>
      </c>
      <c r="H10" s="242">
        <v>14</v>
      </c>
      <c r="I10" s="243">
        <v>128631</v>
      </c>
      <c r="J10" s="243">
        <v>11</v>
      </c>
      <c r="K10" s="243">
        <v>122593</v>
      </c>
      <c r="L10" s="243">
        <v>10</v>
      </c>
      <c r="M10" s="243">
        <v>119867</v>
      </c>
      <c r="N10" s="244">
        <f t="shared" si="0"/>
        <v>-2.2236179879764749E-2</v>
      </c>
    </row>
    <row r="11" spans="1:16" x14ac:dyDescent="0.3">
      <c r="A11" s="150" t="s">
        <v>225</v>
      </c>
      <c r="B11" s="142">
        <v>12</v>
      </c>
      <c r="C11" s="142">
        <v>1469000</v>
      </c>
      <c r="D11" s="151">
        <v>12</v>
      </c>
      <c r="E11" s="243">
        <v>1469000</v>
      </c>
      <c r="F11" s="242">
        <v>16</v>
      </c>
      <c r="G11" s="243">
        <v>1586000</v>
      </c>
      <c r="H11" s="242">
        <v>9</v>
      </c>
      <c r="I11" s="243">
        <v>1072000</v>
      </c>
      <c r="J11" s="243">
        <v>10</v>
      </c>
      <c r="K11" s="243">
        <v>1037963.8</v>
      </c>
      <c r="L11" s="243">
        <v>10</v>
      </c>
      <c r="M11" s="243">
        <v>1038000</v>
      </c>
      <c r="N11" s="244">
        <f t="shared" si="0"/>
        <v>3.4875975443414722E-5</v>
      </c>
    </row>
    <row r="12" spans="1:16" x14ac:dyDescent="0.3">
      <c r="A12" s="150" t="s">
        <v>226</v>
      </c>
      <c r="B12" s="142">
        <v>7</v>
      </c>
      <c r="C12" s="142">
        <v>146415</v>
      </c>
      <c r="D12" s="151">
        <v>7</v>
      </c>
      <c r="E12" s="243">
        <v>146415</v>
      </c>
      <c r="F12" s="242">
        <v>7</v>
      </c>
      <c r="G12" s="243">
        <v>146415</v>
      </c>
      <c r="H12" s="242">
        <v>7</v>
      </c>
      <c r="I12" s="243">
        <v>137412</v>
      </c>
      <c r="J12" s="242">
        <v>7</v>
      </c>
      <c r="K12" s="243">
        <v>137412</v>
      </c>
      <c r="L12" s="243">
        <v>7</v>
      </c>
      <c r="M12" s="243">
        <v>137412</v>
      </c>
      <c r="N12" s="244">
        <f t="shared" si="0"/>
        <v>0</v>
      </c>
    </row>
    <row r="13" spans="1:16" x14ac:dyDescent="0.3">
      <c r="A13" s="345" t="s">
        <v>227</v>
      </c>
      <c r="B13" s="143">
        <f>SUM(B5:B12)</f>
        <v>5943</v>
      </c>
      <c r="C13" s="143">
        <f>SUM(C5:C12)</f>
        <v>6870442</v>
      </c>
      <c r="D13" s="143">
        <f t="shared" ref="D13:H13" si="1">SUM(D5:D12)</f>
        <v>6094</v>
      </c>
      <c r="E13" s="143">
        <f t="shared" si="1"/>
        <v>12781174</v>
      </c>
      <c r="F13" s="143">
        <f t="shared" si="1"/>
        <v>6180</v>
      </c>
      <c r="G13" s="143">
        <f t="shared" si="1"/>
        <v>13796438</v>
      </c>
      <c r="H13" s="143">
        <f t="shared" si="1"/>
        <v>6257</v>
      </c>
      <c r="I13" s="143">
        <f>SUM(I5:I12)</f>
        <v>13582715</v>
      </c>
      <c r="J13" s="143">
        <f t="shared" ref="J13:K13" si="2">SUM(J5:J12)</f>
        <v>6211</v>
      </c>
      <c r="K13" s="143">
        <f t="shared" si="2"/>
        <v>15635606.380000005</v>
      </c>
      <c r="L13" s="49">
        <f>SUM(L5:L12)</f>
        <v>6578</v>
      </c>
      <c r="M13" s="49">
        <f t="shared" ref="M13" si="3">SUM(M5:M12)</f>
        <v>16219373</v>
      </c>
      <c r="N13" s="244">
        <f t="shared" si="0"/>
        <v>3.7335719882710124E-2</v>
      </c>
    </row>
    <row r="14" spans="1:16" ht="28.35" customHeight="1" x14ac:dyDescent="0.3">
      <c r="A14" s="150" t="s">
        <v>228</v>
      </c>
      <c r="B14" s="289" t="s">
        <v>181</v>
      </c>
      <c r="C14" s="289" t="s">
        <v>181</v>
      </c>
      <c r="D14" s="289" t="s">
        <v>181</v>
      </c>
      <c r="E14" s="289" t="s">
        <v>181</v>
      </c>
      <c r="F14" s="289" t="s">
        <v>181</v>
      </c>
      <c r="G14" s="289" t="s">
        <v>181</v>
      </c>
      <c r="H14" s="286">
        <v>2645</v>
      </c>
      <c r="I14" s="286">
        <v>2813680</v>
      </c>
      <c r="J14" s="289" t="s">
        <v>181</v>
      </c>
      <c r="K14" s="289" t="s">
        <v>181</v>
      </c>
      <c r="L14" s="289" t="s">
        <v>181</v>
      </c>
      <c r="M14" s="289" t="s">
        <v>181</v>
      </c>
      <c r="N14" s="289"/>
    </row>
    <row r="15" spans="1:16" ht="28.35" customHeight="1" x14ac:dyDescent="0.3">
      <c r="A15" s="150" t="s">
        <v>229</v>
      </c>
      <c r="B15" s="289" t="s">
        <v>181</v>
      </c>
      <c r="C15" s="289" t="s">
        <v>181</v>
      </c>
      <c r="D15" s="289" t="s">
        <v>181</v>
      </c>
      <c r="E15" s="289" t="s">
        <v>181</v>
      </c>
      <c r="F15" s="289" t="s">
        <v>181</v>
      </c>
      <c r="G15" s="289" t="s">
        <v>181</v>
      </c>
      <c r="H15" s="286">
        <v>2495</v>
      </c>
      <c r="I15" s="286">
        <v>9017965</v>
      </c>
      <c r="J15" s="289" t="s">
        <v>181</v>
      </c>
      <c r="K15" s="289" t="s">
        <v>181</v>
      </c>
      <c r="L15" s="289" t="s">
        <v>181</v>
      </c>
      <c r="M15" s="289" t="s">
        <v>181</v>
      </c>
      <c r="N15" s="289"/>
    </row>
    <row r="16" spans="1:16" ht="28.35" customHeight="1" x14ac:dyDescent="0.3">
      <c r="A16" s="150" t="s">
        <v>230</v>
      </c>
      <c r="B16" s="289" t="s">
        <v>181</v>
      </c>
      <c r="C16" s="289" t="s">
        <v>181</v>
      </c>
      <c r="D16" s="289" t="s">
        <v>181</v>
      </c>
      <c r="E16" s="289" t="s">
        <v>181</v>
      </c>
      <c r="F16" s="289" t="s">
        <v>181</v>
      </c>
      <c r="G16" s="289" t="s">
        <v>181</v>
      </c>
      <c r="H16" s="286">
        <v>2660</v>
      </c>
      <c r="I16" s="243">
        <v>10150592.329999989</v>
      </c>
      <c r="J16" s="289" t="s">
        <v>181</v>
      </c>
      <c r="K16" s="289" t="s">
        <v>181</v>
      </c>
      <c r="L16" s="289" t="s">
        <v>181</v>
      </c>
      <c r="M16" s="289" t="s">
        <v>181</v>
      </c>
      <c r="N16" s="289"/>
    </row>
    <row r="17" spans="1:14" ht="28.35" customHeight="1" x14ac:dyDescent="0.3">
      <c r="A17" s="150" t="s">
        <v>231</v>
      </c>
      <c r="B17" s="289" t="s">
        <v>181</v>
      </c>
      <c r="C17" s="289" t="s">
        <v>181</v>
      </c>
      <c r="D17" s="289" t="s">
        <v>181</v>
      </c>
      <c r="E17" s="289" t="s">
        <v>181</v>
      </c>
      <c r="F17" s="289" t="s">
        <v>181</v>
      </c>
      <c r="G17" s="289" t="s">
        <v>181</v>
      </c>
      <c r="H17" s="286">
        <v>2501</v>
      </c>
      <c r="I17" s="286">
        <v>2428889</v>
      </c>
      <c r="J17" s="289" t="s">
        <v>181</v>
      </c>
      <c r="K17" s="289" t="s">
        <v>181</v>
      </c>
      <c r="L17" s="289" t="s">
        <v>181</v>
      </c>
      <c r="M17" s="289" t="s">
        <v>181</v>
      </c>
      <c r="N17" s="289"/>
    </row>
    <row r="18" spans="1:14" ht="28.35" customHeight="1" x14ac:dyDescent="0.3">
      <c r="A18" s="150" t="s">
        <v>232</v>
      </c>
      <c r="B18" s="289" t="s">
        <v>181</v>
      </c>
      <c r="C18" s="289" t="s">
        <v>181</v>
      </c>
      <c r="D18" s="289" t="s">
        <v>181</v>
      </c>
      <c r="E18" s="289" t="s">
        <v>181</v>
      </c>
      <c r="F18" s="289" t="s">
        <v>181</v>
      </c>
      <c r="G18" s="289" t="s">
        <v>181</v>
      </c>
      <c r="H18" s="289" t="s">
        <v>181</v>
      </c>
      <c r="I18" s="289" t="s">
        <v>181</v>
      </c>
      <c r="J18" s="286">
        <v>2693</v>
      </c>
      <c r="K18" s="243">
        <v>14088112.939999999</v>
      </c>
      <c r="L18" s="289" t="s">
        <v>181</v>
      </c>
      <c r="M18" s="289" t="s">
        <v>181</v>
      </c>
      <c r="N18" s="289"/>
    </row>
    <row r="19" spans="1:14" ht="28.35" customHeight="1" x14ac:dyDescent="0.3">
      <c r="A19" s="150" t="s">
        <v>233</v>
      </c>
      <c r="B19" s="289" t="s">
        <v>181</v>
      </c>
      <c r="C19" s="289" t="s">
        <v>181</v>
      </c>
      <c r="D19" s="289" t="s">
        <v>181</v>
      </c>
      <c r="E19" s="289" t="s">
        <v>181</v>
      </c>
      <c r="F19" s="289" t="s">
        <v>181</v>
      </c>
      <c r="G19" s="289" t="s">
        <v>181</v>
      </c>
      <c r="H19" s="289" t="s">
        <v>181</v>
      </c>
      <c r="I19" s="289" t="s">
        <v>181</v>
      </c>
      <c r="J19" s="286">
        <v>2702</v>
      </c>
      <c r="K19" s="243">
        <v>7828265.2000000002</v>
      </c>
      <c r="L19" s="289" t="s">
        <v>181</v>
      </c>
      <c r="M19" s="289" t="s">
        <v>181</v>
      </c>
      <c r="N19" s="289"/>
    </row>
    <row r="20" spans="1:14" ht="28.35" customHeight="1" x14ac:dyDescent="0.3">
      <c r="A20" s="150" t="s">
        <v>234</v>
      </c>
      <c r="B20" s="289" t="s">
        <v>181</v>
      </c>
      <c r="C20" s="289" t="s">
        <v>181</v>
      </c>
      <c r="D20" s="289" t="s">
        <v>181</v>
      </c>
      <c r="E20" s="289" t="s">
        <v>181</v>
      </c>
      <c r="F20" s="289" t="s">
        <v>181</v>
      </c>
      <c r="G20" s="289" t="s">
        <v>181</v>
      </c>
      <c r="H20" s="289" t="s">
        <v>181</v>
      </c>
      <c r="I20" s="289" t="s">
        <v>181</v>
      </c>
      <c r="J20" s="286">
        <v>156</v>
      </c>
      <c r="K20" s="243">
        <v>957283.14999999967</v>
      </c>
      <c r="L20" s="289">
        <v>156</v>
      </c>
      <c r="M20" s="350">
        <v>1915236</v>
      </c>
      <c r="N20" s="244">
        <f>(M20-K20)/K20</f>
        <v>1.0006995840258972</v>
      </c>
    </row>
    <row r="21" spans="1:14" ht="28.35" customHeight="1" x14ac:dyDescent="0.3">
      <c r="A21" s="150" t="s">
        <v>235</v>
      </c>
      <c r="B21" s="289" t="s">
        <v>181</v>
      </c>
      <c r="C21" s="289" t="s">
        <v>181</v>
      </c>
      <c r="D21" s="289" t="s">
        <v>181</v>
      </c>
      <c r="E21" s="289" t="s">
        <v>181</v>
      </c>
      <c r="F21" s="289" t="s">
        <v>181</v>
      </c>
      <c r="G21" s="289" t="s">
        <v>181</v>
      </c>
      <c r="H21" s="289" t="s">
        <v>181</v>
      </c>
      <c r="I21" s="289" t="s">
        <v>181</v>
      </c>
      <c r="J21" s="286">
        <v>2693</v>
      </c>
      <c r="K21" s="243">
        <v>90152708.49000001</v>
      </c>
      <c r="L21" s="289" t="s">
        <v>181</v>
      </c>
      <c r="M21" s="289" t="s">
        <v>181</v>
      </c>
      <c r="N21" s="289"/>
    </row>
    <row r="22" spans="1:14" ht="28.35" customHeight="1" x14ac:dyDescent="0.3">
      <c r="A22" s="348" t="s">
        <v>236</v>
      </c>
      <c r="B22" s="349" t="s">
        <v>181</v>
      </c>
      <c r="C22" s="349" t="s">
        <v>181</v>
      </c>
      <c r="D22" s="349" t="s">
        <v>181</v>
      </c>
      <c r="E22" s="349" t="s">
        <v>181</v>
      </c>
      <c r="F22" s="349" t="s">
        <v>181</v>
      </c>
      <c r="G22" s="349" t="s">
        <v>181</v>
      </c>
      <c r="H22" s="349" t="s">
        <v>181</v>
      </c>
      <c r="I22" s="349" t="s">
        <v>181</v>
      </c>
      <c r="J22" s="286">
        <v>2686</v>
      </c>
      <c r="K22" s="350">
        <v>37860317.219999999</v>
      </c>
      <c r="L22" s="289" t="s">
        <v>181</v>
      </c>
      <c r="M22" s="289" t="s">
        <v>181</v>
      </c>
      <c r="N22" s="289"/>
    </row>
    <row r="23" spans="1:14" ht="28.35" customHeight="1" x14ac:dyDescent="0.3">
      <c r="A23" s="116" t="s">
        <v>237</v>
      </c>
      <c r="B23" s="349"/>
      <c r="C23" s="349"/>
      <c r="D23" s="349"/>
      <c r="E23" s="349"/>
      <c r="F23" s="349"/>
      <c r="G23" s="349"/>
      <c r="H23" s="349"/>
      <c r="I23" s="349"/>
      <c r="J23" s="350"/>
      <c r="K23" s="350"/>
      <c r="L23" s="289">
        <v>2686</v>
      </c>
      <c r="M23" s="350">
        <v>6628449</v>
      </c>
      <c r="N23" s="289"/>
    </row>
    <row r="24" spans="1:14" ht="28.35" customHeight="1" x14ac:dyDescent="0.3">
      <c r="A24" s="348" t="s">
        <v>238</v>
      </c>
      <c r="B24" s="349"/>
      <c r="C24" s="349"/>
      <c r="D24" s="349"/>
      <c r="E24" s="349"/>
      <c r="F24" s="349"/>
      <c r="G24" s="349"/>
      <c r="H24" s="349"/>
      <c r="I24" s="349"/>
      <c r="J24" s="350"/>
      <c r="K24" s="350"/>
      <c r="L24" s="289">
        <v>1532</v>
      </c>
      <c r="M24" s="350">
        <v>1451223</v>
      </c>
      <c r="N24" s="289"/>
    </row>
    <row r="25" spans="1:14" ht="28.35" customHeight="1" x14ac:dyDescent="0.3">
      <c r="A25" s="348" t="s">
        <v>239</v>
      </c>
      <c r="B25" s="349"/>
      <c r="C25" s="349"/>
      <c r="D25" s="349"/>
      <c r="E25" s="349"/>
      <c r="F25" s="349"/>
      <c r="G25" s="349"/>
      <c r="H25" s="349"/>
      <c r="I25" s="349"/>
      <c r="J25" s="350"/>
      <c r="K25" s="350"/>
      <c r="L25" s="289">
        <v>1645</v>
      </c>
      <c r="M25" s="350">
        <v>5615435</v>
      </c>
      <c r="N25" s="289"/>
    </row>
    <row r="26" spans="1:14" ht="28.35" customHeight="1" x14ac:dyDescent="0.3">
      <c r="A26" s="348" t="s">
        <v>240</v>
      </c>
      <c r="B26" s="349"/>
      <c r="C26" s="349"/>
      <c r="D26" s="349"/>
      <c r="E26" s="349"/>
      <c r="F26" s="349"/>
      <c r="G26" s="349"/>
      <c r="H26" s="349"/>
      <c r="I26" s="349"/>
      <c r="J26" s="350"/>
      <c r="K26" s="350"/>
      <c r="L26" s="289">
        <v>1096</v>
      </c>
      <c r="M26" s="350">
        <v>2614400</v>
      </c>
      <c r="N26" s="289"/>
    </row>
    <row r="27" spans="1:14" ht="28.35" customHeight="1" x14ac:dyDescent="0.3">
      <c r="A27" s="150" t="s">
        <v>241</v>
      </c>
      <c r="B27" s="349"/>
      <c r="C27" s="349"/>
      <c r="D27" s="349"/>
      <c r="E27" s="349"/>
      <c r="F27" s="349"/>
      <c r="G27" s="349"/>
      <c r="H27" s="349"/>
      <c r="I27" s="349"/>
      <c r="J27" s="350"/>
      <c r="K27" s="350"/>
      <c r="L27" s="289">
        <v>2711</v>
      </c>
      <c r="M27" s="350">
        <v>44192000</v>
      </c>
      <c r="N27" s="289"/>
    </row>
    <row r="28" spans="1:14" x14ac:dyDescent="0.3">
      <c r="A28" s="346" t="s">
        <v>227</v>
      </c>
      <c r="B28" s="351"/>
      <c r="C28" s="351"/>
      <c r="D28" s="351"/>
      <c r="E28" s="351"/>
      <c r="F28" s="351"/>
      <c r="G28" s="351"/>
      <c r="H28" s="352">
        <f>SUM(H14:H17)</f>
        <v>10301</v>
      </c>
      <c r="I28" s="352">
        <f>SUM(I14:I17)</f>
        <v>24411126.329999991</v>
      </c>
      <c r="J28" s="352">
        <f>SUM(J18:J22)</f>
        <v>10930</v>
      </c>
      <c r="K28" s="352">
        <f>SUM(K18:K22)</f>
        <v>150886687</v>
      </c>
      <c r="L28" s="354">
        <f>SUM(L14:L27)</f>
        <v>9826</v>
      </c>
      <c r="M28" s="344">
        <f>SUM(M14:M27)</f>
        <v>62416743</v>
      </c>
      <c r="N28" s="387">
        <f>(M28-K28)/K28</f>
        <v>-0.58633366375126261</v>
      </c>
    </row>
    <row r="29" spans="1:14" x14ac:dyDescent="0.3">
      <c r="A29" s="88" t="s">
        <v>242</v>
      </c>
      <c r="B29" s="88"/>
      <c r="C29" s="88"/>
    </row>
    <row r="30" spans="1:14" x14ac:dyDescent="0.3">
      <c r="A30" s="88" t="s">
        <v>243</v>
      </c>
      <c r="B30" s="54"/>
      <c r="C30" s="54"/>
      <c r="M30" s="120"/>
    </row>
  </sheetData>
  <mergeCells count="8">
    <mergeCell ref="A3:A4"/>
    <mergeCell ref="D3:E3"/>
    <mergeCell ref="F3:G3"/>
    <mergeCell ref="H3:I3"/>
    <mergeCell ref="N3:N4"/>
    <mergeCell ref="B3:C3"/>
    <mergeCell ref="J3:K3"/>
    <mergeCell ref="L3:M3"/>
  </mergeCells>
  <hyperlinks>
    <hyperlink ref="A1" location="Inhoud!A1" display="Terug naar inhoud" xr:uid="{E0B5B3D4-1466-4F4B-A379-7D097766890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2CA810236A2A4CB614BEF20BCB512B" ma:contentTypeVersion="18" ma:contentTypeDescription="Een nieuw document maken." ma:contentTypeScope="" ma:versionID="59b7b046b0a5e8c7581f9b42a96172ca">
  <xsd:schema xmlns:xsd="http://www.w3.org/2001/XMLSchema" xmlns:xs="http://www.w3.org/2001/XMLSchema" xmlns:p="http://schemas.microsoft.com/office/2006/metadata/properties" xmlns:ns2="5ae5ecd4-640d-42d4-8d53-116c80b125de" xmlns:ns3="c00577b3-22c8-48c6-a5fa-98178e34ec9c" xmlns:ns4="9a9ec0f0-7796-43d0-ac1f-4c8c46ee0bd1" targetNamespace="http://schemas.microsoft.com/office/2006/metadata/properties" ma:root="true" ma:fieldsID="d2e931edd8c426a1c5aaad98bb3c448b" ns2:_="" ns3:_="" ns4:_="">
    <xsd:import namespace="5ae5ecd4-640d-42d4-8d53-116c80b125de"/>
    <xsd:import namespace="c00577b3-22c8-48c6-a5fa-98178e34ec9c"/>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5ecd4-640d-42d4-8d53-116c80b12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0577b3-22c8-48c6-a5fa-98178e34ec9c"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9d408bd-7ef0-4d7b-928c-d90451726316}"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e5ecd4-640d-42d4-8d53-116c80b125de">
      <Terms xmlns="http://schemas.microsoft.com/office/infopath/2007/PartnerControls"/>
    </lcf76f155ced4ddcb4097134ff3c332f>
    <TaxCatchAll xmlns="9a9ec0f0-7796-43d0-ac1f-4c8c46ee0bd1" xsi:nil="true"/>
  </documentManagement>
</p:properties>
</file>

<file path=customXml/itemProps1.xml><?xml version="1.0" encoding="utf-8"?>
<ds:datastoreItem xmlns:ds="http://schemas.openxmlformats.org/officeDocument/2006/customXml" ds:itemID="{A18C608C-08AA-46EC-8061-90A29F7C63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5ecd4-640d-42d4-8d53-116c80b125de"/>
    <ds:schemaRef ds:uri="c00577b3-22c8-48c6-a5fa-98178e34ec9c"/>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2956ED-4FC4-4A5D-A348-5E8ACB25B21F}">
  <ds:schemaRefs>
    <ds:schemaRef ds:uri="http://schemas.microsoft.com/sharepoint/v3/contenttype/forms"/>
  </ds:schemaRefs>
</ds:datastoreItem>
</file>

<file path=customXml/itemProps3.xml><?xml version="1.0" encoding="utf-8"?>
<ds:datastoreItem xmlns:ds="http://schemas.openxmlformats.org/officeDocument/2006/customXml" ds:itemID="{30CD72F3-82FA-49F5-92CD-A30E526AD00C}">
  <ds:schemaRefs>
    <ds:schemaRef ds:uri="http://purl.org/dc/elements/1.1/"/>
    <ds:schemaRef ds:uri="http://schemas.microsoft.com/office/2006/metadata/properties"/>
    <ds:schemaRef ds:uri="5ae5ecd4-640d-42d4-8d53-116c80b125de"/>
    <ds:schemaRef ds:uri="c00577b3-22c8-48c6-a5fa-98178e34ec9c"/>
    <ds:schemaRef ds:uri="http://purl.org/dc/terms/"/>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48</vt:i4>
      </vt:variant>
      <vt:variant>
        <vt:lpstr>Benoemde bereiken</vt:lpstr>
      </vt:variant>
      <vt:variant>
        <vt:i4>4</vt:i4>
      </vt:variant>
    </vt:vector>
  </HeadingPairs>
  <TitlesOfParts>
    <vt:vector size="52" baseType="lpstr">
      <vt:lpstr>Inhoud</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3.41</vt:lpstr>
      <vt:lpstr>3.42</vt:lpstr>
      <vt:lpstr>3.43</vt:lpstr>
      <vt:lpstr>3.44</vt:lpstr>
      <vt:lpstr>3.45</vt:lpstr>
      <vt:lpstr>3.46</vt:lpstr>
      <vt:lpstr>3.47</vt:lpstr>
      <vt:lpstr>'3.44'!_1397890933</vt:lpstr>
      <vt:lpstr>'3.46'!_MON_1492866926</vt:lpstr>
      <vt:lpstr>'3.29'!_Toc80112063</vt:lpstr>
      <vt:lpstr>'3.34'!_Toc80112068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Onze klanten de scholen</dc:title>
  <dc:subject/>
  <dc:creator>Van den Broeck, Kris OND</dc:creator>
  <cp:keywords/>
  <dc:description/>
  <cp:lastModifiedBy>Van BiesenSiel</cp:lastModifiedBy>
  <cp:revision/>
  <dcterms:created xsi:type="dcterms:W3CDTF">2018-10-03T13:22:04Z</dcterms:created>
  <dcterms:modified xsi:type="dcterms:W3CDTF">2023-12-20T10:01:14Z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0x010100F62CA810236A2A4CB614BEF20BCB512B</vt:lpwstr>
  </property>
  <property fmtid="{D5CDD505-2E9C-101B-9397-08002B2CF9AE}" pid="3" name="MediaServiceImageTags">
    <vt:lpwstr/>
  </property>
</Properties>
</file>