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3C/dienstverlening/Rapporten/Jaarrapporten/2022/Cijfers_en_tabellen/Hoofdstuk 3/"/>
    </mc:Choice>
  </mc:AlternateContent>
  <xr:revisionPtr revIDLastSave="5605" documentId="13_ncr:3_{151C201E-6547-4B6C-96BF-A01833199379}" xr6:coauthVersionLast="47" xr6:coauthVersionMax="47" xr10:uidLastSave="{96139497-A1A8-4114-B410-69ADC4CEF3B1}"/>
  <bookViews>
    <workbookView xWindow="-108" yWindow="-108" windowWidth="23256" windowHeight="12576" activeTab="7" xr2:uid="{08461675-A229-4E49-90B4-5E26820FBF01}"/>
  </bookViews>
  <sheets>
    <sheet name="Inhoud" sheetId="52" r:id="rId1"/>
    <sheet name="3.69" sheetId="1" r:id="rId2"/>
    <sheet name="3.70" sheetId="2" r:id="rId3"/>
    <sheet name="3.71" sheetId="3" r:id="rId4"/>
    <sheet name="3.72" sheetId="4" r:id="rId5"/>
    <sheet name="3.73" sheetId="5" r:id="rId6"/>
    <sheet name="3.74" sheetId="6" r:id="rId7"/>
    <sheet name="3.75" sheetId="7" r:id="rId8"/>
    <sheet name="3.76" sheetId="8" r:id="rId9"/>
    <sheet name="3.77" sheetId="9" r:id="rId10"/>
    <sheet name="3.78" sheetId="10" r:id="rId11"/>
    <sheet name="3.79" sheetId="11" r:id="rId12"/>
    <sheet name="3.80" sheetId="12" r:id="rId13"/>
    <sheet name="3.81" sheetId="13" r:id="rId14"/>
    <sheet name="3.82" sheetId="14" r:id="rId15"/>
    <sheet name="3.83" sheetId="15" r:id="rId16"/>
    <sheet name="3.84" sheetId="16" r:id="rId17"/>
    <sheet name="3.85" sheetId="17" r:id="rId18"/>
    <sheet name="3.86" sheetId="18" r:id="rId19"/>
    <sheet name="3.87" sheetId="19" r:id="rId20"/>
    <sheet name="3.88" sheetId="20" r:id="rId21"/>
    <sheet name="3.89" sheetId="21" r:id="rId22"/>
    <sheet name="3.90" sheetId="22" r:id="rId23"/>
    <sheet name="3.91" sheetId="23" r:id="rId24"/>
    <sheet name="3.92" sheetId="24" r:id="rId25"/>
    <sheet name="3.93" sheetId="25" r:id="rId26"/>
    <sheet name="3.94" sheetId="26" r:id="rId27"/>
    <sheet name="3.95" sheetId="27" r:id="rId28"/>
    <sheet name="3.96" sheetId="50" r:id="rId29"/>
    <sheet name="3.97" sheetId="51" r:id="rId30"/>
    <sheet name="3.98" sheetId="31" r:id="rId31"/>
    <sheet name="3.99" sheetId="32" r:id="rId32"/>
    <sheet name="3.100" sheetId="33" r:id="rId33"/>
    <sheet name="3.101" sheetId="34" r:id="rId34"/>
    <sheet name="3.102" sheetId="35" r:id="rId35"/>
    <sheet name="3.103" sheetId="36" r:id="rId36"/>
    <sheet name="3.104" sheetId="37" r:id="rId37"/>
    <sheet name="3.105" sheetId="39" r:id="rId38"/>
    <sheet name="3.106" sheetId="40" r:id="rId39"/>
    <sheet name="3.107" sheetId="41" r:id="rId40"/>
    <sheet name="3.108" sheetId="42" r:id="rId41"/>
    <sheet name="3.109" sheetId="43" r:id="rId42"/>
    <sheet name="3.110" sheetId="44" r:id="rId43"/>
    <sheet name="3.111" sheetId="45" r:id="rId44"/>
  </sheets>
  <definedNames>
    <definedName name="_ftn1" localSheetId="8">'3.76'!$A$22</definedName>
    <definedName name="_ftnref1" localSheetId="8">'3.76'!#REF!</definedName>
    <definedName name="_Hlk525732048" localSheetId="25">'3.93'!#REF!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4" l="1"/>
  <c r="F9" i="24"/>
  <c r="G9" i="24"/>
  <c r="H9" i="24"/>
  <c r="I9" i="24"/>
  <c r="I8" i="24"/>
  <c r="I5" i="24"/>
  <c r="I6" i="24"/>
  <c r="I7" i="24"/>
  <c r="H5" i="24"/>
  <c r="H6" i="24"/>
  <c r="H7" i="24"/>
  <c r="G6" i="24"/>
  <c r="G7" i="24"/>
  <c r="G8" i="24"/>
  <c r="G5" i="24"/>
  <c r="F6" i="24"/>
  <c r="F7" i="24"/>
  <c r="F5" i="24"/>
  <c r="D9" i="24"/>
  <c r="C9" i="24"/>
  <c r="B9" i="24"/>
  <c r="E8" i="24"/>
  <c r="E7" i="24"/>
  <c r="E6" i="24"/>
  <c r="E5" i="24"/>
  <c r="G5" i="34" l="1"/>
  <c r="G6" i="34"/>
  <c r="G7" i="34"/>
  <c r="G4" i="34"/>
  <c r="G11" i="23"/>
  <c r="G24" i="23"/>
  <c r="E11" i="22" l="1"/>
  <c r="C11" i="22"/>
  <c r="B11" i="22"/>
  <c r="G9" i="22"/>
  <c r="E9" i="22"/>
  <c r="D9" i="22"/>
  <c r="D11" i="22" s="1"/>
  <c r="C9" i="22"/>
  <c r="B9" i="22"/>
  <c r="F8" i="22"/>
  <c r="H8" i="22" s="1"/>
  <c r="F7" i="22"/>
  <c r="H7" i="22" s="1"/>
  <c r="F6" i="22"/>
  <c r="H6" i="22" s="1"/>
  <c r="F5" i="22"/>
  <c r="H5" i="22" s="1"/>
  <c r="F4" i="22"/>
  <c r="H4" i="22" s="1"/>
  <c r="F9" i="22" l="1"/>
  <c r="G5" i="12"/>
  <c r="G6" i="12"/>
  <c r="G7" i="12"/>
  <c r="G8" i="12"/>
  <c r="G4" i="12"/>
  <c r="G5" i="13"/>
  <c r="G6" i="13"/>
  <c r="G7" i="13"/>
  <c r="G4" i="13"/>
  <c r="G5" i="20"/>
  <c r="G6" i="20"/>
  <c r="G7" i="20"/>
  <c r="G8" i="20"/>
  <c r="G9" i="20"/>
  <c r="G10" i="20"/>
  <c r="G11" i="20"/>
  <c r="G12" i="20"/>
  <c r="G13" i="20"/>
  <c r="G14" i="20"/>
  <c r="G15" i="20"/>
  <c r="G16" i="20"/>
  <c r="G17" i="20"/>
  <c r="G18" i="20"/>
  <c r="G19" i="20"/>
  <c r="G4" i="20"/>
  <c r="F19" i="20"/>
  <c r="G5" i="16"/>
  <c r="G6" i="16"/>
  <c r="G4" i="16"/>
  <c r="F6" i="16"/>
  <c r="G5" i="17"/>
  <c r="G6" i="17"/>
  <c r="G7" i="17"/>
  <c r="G8" i="17"/>
  <c r="G9" i="17"/>
  <c r="G10" i="17"/>
  <c r="G11" i="17"/>
  <c r="G12" i="17"/>
  <c r="G13" i="17"/>
  <c r="G14" i="17"/>
  <c r="G15" i="17"/>
  <c r="G4" i="17"/>
  <c r="F15" i="17"/>
  <c r="F5" i="19"/>
  <c r="F6" i="19"/>
  <c r="F7" i="19"/>
  <c r="F8" i="19"/>
  <c r="F9" i="19"/>
  <c r="F10" i="19"/>
  <c r="F11" i="19"/>
  <c r="F12" i="19"/>
  <c r="F13" i="19"/>
  <c r="F14" i="19"/>
  <c r="F15" i="19"/>
  <c r="F16" i="19"/>
  <c r="F17" i="19"/>
  <c r="F4" i="19"/>
  <c r="G5" i="18"/>
  <c r="G6" i="18"/>
  <c r="G7" i="18"/>
  <c r="G8" i="18"/>
  <c r="G4" i="18"/>
  <c r="H9" i="22" l="1"/>
  <c r="F11" i="22"/>
  <c r="G5" i="31"/>
  <c r="G6" i="31"/>
  <c r="G7" i="31"/>
  <c r="G8" i="31"/>
  <c r="G4" i="31"/>
  <c r="G5" i="21"/>
  <c r="G6" i="21"/>
  <c r="G7" i="21"/>
  <c r="G8" i="21"/>
  <c r="G4" i="21"/>
  <c r="H8" i="40"/>
  <c r="H7" i="40"/>
  <c r="H6" i="40"/>
  <c r="H5" i="40"/>
  <c r="H4" i="40"/>
  <c r="G13" i="14"/>
  <c r="G12" i="14"/>
  <c r="G11" i="14"/>
  <c r="G10" i="14"/>
  <c r="G9" i="14"/>
  <c r="G8" i="14"/>
  <c r="G7" i="14"/>
  <c r="G6" i="14"/>
  <c r="G5" i="14"/>
  <c r="G4" i="14"/>
  <c r="F13" i="14"/>
  <c r="F9" i="11" l="1"/>
  <c r="E9" i="11"/>
  <c r="F8" i="11"/>
  <c r="F7" i="11"/>
  <c r="F6" i="11"/>
  <c r="F5" i="11"/>
  <c r="E13" i="26" l="1"/>
  <c r="G13" i="26" s="1"/>
  <c r="G12" i="26"/>
  <c r="G11" i="26"/>
  <c r="G9" i="26"/>
  <c r="G8" i="26"/>
  <c r="G7" i="26"/>
  <c r="G6" i="26"/>
  <c r="G5" i="26"/>
  <c r="G4" i="26"/>
  <c r="E10" i="25"/>
  <c r="F10" i="25" s="1"/>
  <c r="F9" i="25"/>
  <c r="F8" i="25"/>
  <c r="F7" i="25"/>
  <c r="F6" i="25"/>
  <c r="F5" i="25"/>
  <c r="F4" i="25"/>
  <c r="E11" i="2" l="1"/>
  <c r="F11" i="2" s="1"/>
  <c r="F10" i="2"/>
  <c r="F9" i="2"/>
  <c r="F8" i="2"/>
  <c r="F7" i="2"/>
  <c r="F6" i="2"/>
  <c r="F5" i="2"/>
  <c r="F4" i="2"/>
  <c r="E11" i="3" l="1"/>
  <c r="F11" i="3" s="1"/>
  <c r="F10" i="3"/>
  <c r="F9" i="3"/>
  <c r="F8" i="3"/>
  <c r="F7" i="3"/>
  <c r="F6" i="3"/>
  <c r="F5" i="3"/>
  <c r="F4" i="3"/>
  <c r="H5" i="5" l="1"/>
  <c r="H6" i="5"/>
  <c r="H7" i="5"/>
  <c r="H8" i="5"/>
  <c r="H9" i="5"/>
  <c r="H10" i="5"/>
  <c r="H11" i="5"/>
  <c r="H12" i="5"/>
  <c r="H13" i="5"/>
  <c r="H14" i="5"/>
  <c r="H4" i="5"/>
  <c r="F4" i="4"/>
  <c r="G5" i="32"/>
  <c r="G6" i="32"/>
  <c r="G7" i="32"/>
  <c r="G8" i="32"/>
  <c r="G4" i="32"/>
  <c r="D13" i="23" l="1"/>
  <c r="G12" i="23"/>
  <c r="G13" i="23" s="1"/>
  <c r="G10" i="23"/>
  <c r="G6" i="23"/>
  <c r="F10" i="23"/>
  <c r="F9" i="23"/>
  <c r="F8" i="23"/>
  <c r="F7" i="23"/>
  <c r="F6" i="23"/>
  <c r="E10" i="23"/>
  <c r="E9" i="23"/>
  <c r="E8" i="23"/>
  <c r="E7" i="23"/>
  <c r="E6" i="23"/>
  <c r="D26" i="23"/>
  <c r="D12" i="23"/>
  <c r="D11" i="23"/>
  <c r="D10" i="23"/>
  <c r="D9" i="23"/>
  <c r="D8" i="23"/>
  <c r="D7" i="23"/>
  <c r="D6" i="23"/>
  <c r="C10" i="23"/>
  <c r="C9" i="23"/>
  <c r="C8" i="23"/>
  <c r="C7" i="23"/>
  <c r="C6" i="23"/>
  <c r="B10" i="23"/>
  <c r="B9" i="23"/>
  <c r="B8" i="23"/>
  <c r="B7" i="23"/>
  <c r="B6" i="23"/>
  <c r="G5" i="7"/>
  <c r="G6" i="7"/>
  <c r="G7" i="7"/>
  <c r="G8" i="7"/>
  <c r="G9" i="7"/>
  <c r="G4" i="7"/>
  <c r="F9" i="7"/>
  <c r="M6" i="39"/>
  <c r="M5" i="39"/>
  <c r="L6" i="39"/>
  <c r="L5" i="39"/>
  <c r="G9" i="36"/>
  <c r="G4" i="36"/>
  <c r="C17" i="19"/>
  <c r="D17" i="19"/>
  <c r="D9" i="11"/>
  <c r="D10" i="25"/>
  <c r="C10" i="25"/>
  <c r="B10" i="25"/>
  <c r="D11" i="3"/>
  <c r="D11" i="2"/>
  <c r="D6" i="43"/>
  <c r="G38" i="23" l="1"/>
  <c r="D38" i="23"/>
  <c r="G37" i="23"/>
  <c r="G35" i="23"/>
  <c r="G34" i="23"/>
  <c r="G33" i="23"/>
  <c r="G32" i="23"/>
  <c r="F35" i="23"/>
  <c r="F34" i="23"/>
  <c r="F33" i="23"/>
  <c r="F32" i="23"/>
  <c r="E35" i="23"/>
  <c r="E34" i="23"/>
  <c r="E33" i="23"/>
  <c r="E32" i="23"/>
  <c r="D35" i="23"/>
  <c r="D34" i="23"/>
  <c r="D36" i="23" s="1"/>
  <c r="D33" i="23"/>
  <c r="D32" i="23"/>
  <c r="C35" i="23"/>
  <c r="C34" i="23"/>
  <c r="C33" i="23"/>
  <c r="C32" i="23"/>
  <c r="B35" i="23"/>
  <c r="B34" i="23"/>
  <c r="B33" i="23"/>
  <c r="B32" i="23"/>
  <c r="E21" i="22"/>
  <c r="D21" i="22"/>
  <c r="C21" i="22"/>
  <c r="B21" i="22"/>
  <c r="F21" i="22"/>
  <c r="F9" i="36"/>
  <c r="F4" i="36"/>
  <c r="C29" i="45"/>
  <c r="B29" i="45"/>
  <c r="C23" i="44"/>
  <c r="B23" i="44"/>
  <c r="B6" i="43"/>
  <c r="B6" i="42"/>
  <c r="B36" i="23" l="1"/>
  <c r="C36" i="23"/>
  <c r="D37" i="23" s="1"/>
  <c r="B9" i="36"/>
  <c r="D9" i="36"/>
  <c r="C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tc={5BCE141A-D95A-44DF-A1AE-2DC26D9E5C1D}</author>
  </authors>
  <commentList>
    <comment ref="A4" authorId="0" shapeId="0" xr:uid="{5BCE141A-D95A-44DF-A1AE-2DC26D9E5C1D}">
      <text>
        <t>[Opmerkingenthread]
U kunt deze opmerkingenthread lezen in uw versie van Excel. Eventuele wijzigingen aan de thread gaan echter verloren als het bestand wordt geopend in een nieuwere versie van Excel. Meer informatie: https://go.microsoft.com/fwlink/?linkid=870924
Opmerking:
    Ik zou het luik bonus niet meer opnemen.</t>
      </text>
    </comment>
  </commentList>
</comments>
</file>

<file path=xl/sharedStrings.xml><?xml version="1.0" encoding="utf-8"?>
<sst xmlns="http://schemas.openxmlformats.org/spreadsheetml/2006/main" count="1089" uniqueCount="449">
  <si>
    <t>Inhoud tabellen Hoofdstuk 3.3 Onze klanten: onderwijspersoneelsleden</t>
  </si>
  <si>
    <t>Tabel 3.69</t>
  </si>
  <si>
    <t>Evolutie van bezoldigde personen in alle onderwijsniveaus samen</t>
  </si>
  <si>
    <t>Tabel 3.91</t>
  </si>
  <si>
    <t>Personeelsleden in TBSOB in aantallen en VTE</t>
  </si>
  <si>
    <t>Tabel 3.70</t>
  </si>
  <si>
    <t>Evolutie van het aantal fysieke personen (inclusief alle vervangingen, TBS+ en Bonus) onderverdeeld per onderwijsniveau en soort onderwijs</t>
  </si>
  <si>
    <t>Tabel 3.92</t>
  </si>
  <si>
    <t>Aantal VTE personeelsleden in TBSOB zonder reaffectatie of wedertewerkstelling in een organieke betrekking</t>
  </si>
  <si>
    <t>Tabel 3.71</t>
  </si>
  <si>
    <t>Aantal budgettaire voltijdse-equivalenten (inclusief alle vervangingen, TBS+ en Bonus)</t>
  </si>
  <si>
    <t>Tabel 3.93</t>
  </si>
  <si>
    <t>Aantal personeelsleden met een tijdelijk andere opdracht</t>
  </si>
  <si>
    <t>Tabel 3.72</t>
  </si>
  <si>
    <t>Unieke personeelsleden op niveau van AGODI</t>
  </si>
  <si>
    <t>Tabel 3.94</t>
  </si>
  <si>
    <t>Aantal personeelsleden met nieuwe affectatie, mutatie, herstructurering</t>
  </si>
  <si>
    <t>Tabel 3.73</t>
  </si>
  <si>
    <t>Aantal personeelsleden per onderwijsniveau met opsplitsing tussen vast benoemde en tijdelijke personeelsleden</t>
  </si>
  <si>
    <t>Tabel 3.95</t>
  </si>
  <si>
    <t>Aantal outplacers verdeeld over de sectoren</t>
  </si>
  <si>
    <t>Tabel 3.74</t>
  </si>
  <si>
    <t xml:space="preserve">Overzicht aantal personeelsleden (geheel of gedeeltelijk) bezoldigd met een bepaalde salarisschaal </t>
  </si>
  <si>
    <t>Tabel 3.96</t>
  </si>
  <si>
    <t>Overzicht opbouw NIV in aantal personeelsleden per onderwijsniveau</t>
  </si>
  <si>
    <t>Tabel 3.75</t>
  </si>
  <si>
    <t>Evolutie van de totale salarisuitgaven van AGODI</t>
  </si>
  <si>
    <t>Tabel 3.97</t>
  </si>
  <si>
    <t>Overzicht opbouw NIV in aantal VTE per onderwijsniveau</t>
  </si>
  <si>
    <t>Tabel 3.76</t>
  </si>
  <si>
    <t>Gemiddelde salariskost</t>
  </si>
  <si>
    <t>Tabel 3.98</t>
  </si>
  <si>
    <t>Aantal personeelsleden met tucht- of bewarende maatregel</t>
  </si>
  <si>
    <t>Tabel 3.77</t>
  </si>
  <si>
    <t>Aanstellingen volgens bekwaamheidsbewijs</t>
  </si>
  <si>
    <t>Tabel 3.99</t>
  </si>
  <si>
    <t>Aantal nieuwe personeelsleden in het onderwijs</t>
  </si>
  <si>
    <t>Tabel 3.78</t>
  </si>
  <si>
    <t>Totaal behandelde dossiers/jaar professionele erkenningen van buitenlandse leerkrachten</t>
  </si>
  <si>
    <t>Tabel 3.100</t>
  </si>
  <si>
    <t>Aantal personeelsleden in het stelsel van TBSPA voorafgaand aan het rustpensioen</t>
  </si>
  <si>
    <t>Tabel 3.79</t>
  </si>
  <si>
    <t>Overzicht cumulatie (in VTE)</t>
  </si>
  <si>
    <t>Tabel 3.101</t>
  </si>
  <si>
    <t>Aantal afgehandelde dossiers terbeschikkingstelling voorafgaand aan het rustpensioen (TBSVP)</t>
  </si>
  <si>
    <t>Tabel 3.80</t>
  </si>
  <si>
    <t>Aantal personeelsleden in ziekteverlof  </t>
  </si>
  <si>
    <t>Tabel 3.102</t>
  </si>
  <si>
    <t>Aantal afgehandelde overdrachten</t>
  </si>
  <si>
    <t>Tabel 3.81</t>
  </si>
  <si>
    <t>Aantal personeelsleden in TBS ziekte, onbezoldigd ziekteverlof, VVP wegens ziekte en langdurig VVP wegens medische redenen  </t>
  </si>
  <si>
    <t>Tabel 3.103</t>
  </si>
  <si>
    <t>Overzicht terugvorderingen</t>
  </si>
  <si>
    <t>Tabel 3.82</t>
  </si>
  <si>
    <t>Aantal personeelsleden in een dienstonderbreking naar aanleiding van een geboorte of adoptie van een kind voor alle onderwijsniveaus</t>
  </si>
  <si>
    <t>Tabel 3.104</t>
  </si>
  <si>
    <t>Teruggevorderde bedragen bij terugvorderingen ongevallen met derden</t>
  </si>
  <si>
    <t>Tabel 3.83</t>
  </si>
  <si>
    <t>Aantal personeelsleden in een dienstonderbreking naar aanleiding van een geboorte van een kind per onderwijsniveau</t>
  </si>
  <si>
    <t>Tabel 3.105</t>
  </si>
  <si>
    <t>Teruggevorderde bedragen bij terugvorderingsdossiers en vastgestelde rechten bij PWB's en detacheringen</t>
  </si>
  <si>
    <t>Tabel 3.84</t>
  </si>
  <si>
    <t>Aantal personeelsleden in VVP en AVP  </t>
  </si>
  <si>
    <t>Tabel 3.106</t>
  </si>
  <si>
    <t>Aantal afwezigheden wegens arbeidsongeval</t>
  </si>
  <si>
    <t>Tabel 3.85</t>
  </si>
  <si>
    <t>Personeelsleden in VVP of AVP voor alle onderwijsniveaus</t>
  </si>
  <si>
    <t>Tabel 3.107</t>
  </si>
  <si>
    <t>Aantal aangiften en afhandelingen arbeidsongevallen</t>
  </si>
  <si>
    <t>Tabel 3.86</t>
  </si>
  <si>
    <t>Aantal personeelsleden in loopbaanonderbreking 50+ of 55+ </t>
  </si>
  <si>
    <t>Tabel 3.108</t>
  </si>
  <si>
    <t>Aantal personeelsleden in het lerarenplatform</t>
  </si>
  <si>
    <t>Tabel 3.87</t>
  </si>
  <si>
    <t>Aantal personeelsleden met een thematische loopbaanonderbreking</t>
  </si>
  <si>
    <t>Tabel 3.109</t>
  </si>
  <si>
    <t>Aantal samenwerkingsplatforms in het lerarenplatform</t>
  </si>
  <si>
    <t>Tabel 3.88</t>
  </si>
  <si>
    <t>Aantal personeelsleden met zorgkrediet </t>
  </si>
  <si>
    <t>Tabel 3.110</t>
  </si>
  <si>
    <t>Verdeling personeelsleden volgens geslacht in het lerarenplatform</t>
  </si>
  <si>
    <t>Tabel 3.89</t>
  </si>
  <si>
    <t>Aantal personeelsleden in diverse dienstonderbrekingen</t>
  </si>
  <si>
    <t>Tabel 3.111</t>
  </si>
  <si>
    <t>Verdeling per volume van de aanstelling in het lerarenplatform</t>
  </si>
  <si>
    <t>Tabel 3.90</t>
  </si>
  <si>
    <t>Aantal vaste benoemingen per niveau en per net op 01-01-2021</t>
  </si>
  <si>
    <t>Terug naar inhoud</t>
  </si>
  <si>
    <t>Tabel 3.69: evolutie van bezoldigde personen in alle onderwijsniveaus samen*</t>
  </si>
  <si>
    <t>2011-2012</t>
  </si>
  <si>
    <t>2012-2013</t>
  </si>
  <si>
    <t>2013-2014</t>
  </si>
  <si>
    <t>2014-2015</t>
  </si>
  <si>
    <t>2015-2016</t>
  </si>
  <si>
    <t>2016-2017</t>
  </si>
  <si>
    <t>2017-2018</t>
  </si>
  <si>
    <t>2018-2019</t>
  </si>
  <si>
    <t>2019-2020</t>
  </si>
  <si>
    <t>2020-2021</t>
  </si>
  <si>
    <t>2021-2022</t>
  </si>
  <si>
    <t>*cijfers uit januari</t>
  </si>
  <si>
    <t>Tabel 3.70: evolutie van het aantal fysieke personen (inclusief alle vervangingen, TBS+ en Bonus) onderverdeeld per onderwijsniveau en soort onderwijs</t>
  </si>
  <si>
    <t>Januari 2019</t>
  </si>
  <si>
    <t>Januari 2020</t>
  </si>
  <si>
    <t>Januari 2021</t>
  </si>
  <si>
    <t>Januari 2022</t>
  </si>
  <si>
    <t>Evolutie ten opzichte van vorig jaar</t>
  </si>
  <si>
    <t>Gewoon basisonderwijs</t>
  </si>
  <si>
    <t>Buitengewoon basisonderwijs</t>
  </si>
  <si>
    <t>Gewoon secundair onderwijs</t>
  </si>
  <si>
    <t>Buitengewoon secundair onderwijs</t>
  </si>
  <si>
    <t>HBO5 verpleegkunde</t>
  </si>
  <si>
    <t>Deeltijds kunstonderwijs</t>
  </si>
  <si>
    <t>Andere*</t>
  </si>
  <si>
    <t>Totaal</t>
  </si>
  <si>
    <t>*Personeel van CLB’s, Onderwijsinspectie, pedagogische begeleiding, internaten …</t>
  </si>
  <si>
    <t>In de personeelsstatistieken wordt alleen het personeel geregistreerd dat rechtstreeks door het Vlaams Ministerie van Onderwijs en Vorming wordt bezoldigd. Dus geen meester-, vak- en dienstpersoneel van het gesubsidieerd onderwijs, geen gesubsidieerde contractuelen of personeel dat geniet van het stelsel 'terbeschikkingstelling voorafgaand aan het rustpensioen (TBS+)’ of een bonus.</t>
  </si>
  <si>
    <t>Tabel 3.71: aantal budgettaire voltijdse-equivalenten (inclusief alle vervangingen, TBS+ en Bonus)</t>
  </si>
  <si>
    <t>58.702</t>
  </si>
  <si>
    <t>59.242</t>
  </si>
  <si>
    <t>*Personeel van CLB’s, Onderwijsinspectie, pedagogische begeleiding, internaten … De budgettaire voltijdse equivalenten zijn het resultaat van de som van alle deelopdrachten van alle personeelsleden (met andere woorden met inbegrip van de vervangingen van minder dan een jaar). Alle vervangingen zijn dus opgenomen in de tabellen fysieke personen en budgettaire voltijdse equivalenten.</t>
  </si>
  <si>
    <t>Tabel 3.72: unieke personeelsleden op niveau van AGODI</t>
  </si>
  <si>
    <t>Januari 2018</t>
  </si>
  <si>
    <t>Tabel 3.73: aantal personeelsleden per onderwijsniveau met opsplitsing tussen vast benoemde en tijdelijke personeelsleden*</t>
  </si>
  <si>
    <t>Onderwijsniveau</t>
  </si>
  <si>
    <t>Vast/tijdelijk</t>
  </si>
  <si>
    <t>Aantal personeelsleden januari 2018</t>
  </si>
  <si>
    <t>Aantal personeelsleden januari 2019</t>
  </si>
  <si>
    <t>Aantal personeelsleden januari 2020</t>
  </si>
  <si>
    <t>Aantal personeelsleden januari 2021</t>
  </si>
  <si>
    <t>Aantal personeelsleden januari 2022</t>
  </si>
  <si>
    <t>Basisonderwijs</t>
  </si>
  <si>
    <t>Tijdelijk</t>
  </si>
  <si>
    <t>Vast</t>
  </si>
  <si>
    <t>CLB</t>
  </si>
  <si>
    <t>DKO</t>
  </si>
  <si>
    <t>Secundair onderwijs</t>
  </si>
  <si>
    <t>Andere</t>
  </si>
  <si>
    <r>
      <t xml:space="preserve">*Alleen de personeelsleden met opdrachten gedurende </t>
    </r>
    <r>
      <rPr>
        <i/>
        <sz val="10"/>
        <color theme="1"/>
        <rFont val="Calibrii"/>
      </rPr>
      <t>de maand januari van het betreffende schooljaar worden in aanmerking genomen.</t>
    </r>
  </si>
  <si>
    <t>·        Een aantal personeelsleden hebben zowel vastbenoemde als tijdelijke opdrachten. Een personeelslid wordt als vastbenoemd beschouwd, wanneer hij/zij minimum een opdracht heeft als vastbenoemd personeelslid.  Anders wordt een personeelslid als tijdelijk beschouwd. Een personeelslid is dus ofwel vastbenoemd ofwel tijdelijk om dubbeltellingen uit te sluiten.</t>
  </si>
  <si>
    <t>·        Een aantal personeelsleden staat in meer dan één onderwijsniveau. Zij worden dan in elk onderwijsniveau afzonderlijk geteld.</t>
  </si>
  <si>
    <t>·        Andere** Dat zijn personeelsleden van internaten, inspectie, pedagogische begeleidingsdiensten, kinderdagverblijven …</t>
  </si>
  <si>
    <t xml:space="preserve">Tabel 3.74: overzicht aantal personeelsleden (geheel of gedeeltelijk) bezoldigd met een bepaalde salarisschaal </t>
  </si>
  <si>
    <t>Aantal salarisschalen</t>
  </si>
  <si>
    <t>Aantal personeelsleden (geheel of gedeeltelijk) bezoldigd met een bepaalde salarisschaal</t>
  </si>
  <si>
    <t>1-5</t>
  </si>
  <si>
    <t>17% van alle personeelsleden</t>
  </si>
  <si>
    <t>6-10</t>
  </si>
  <si>
    <t>11-50</t>
  </si>
  <si>
    <t>51-100</t>
  </si>
  <si>
    <t>101-500</t>
  </si>
  <si>
    <t>501-1000</t>
  </si>
  <si>
    <t>1001-5000</t>
  </si>
  <si>
    <t>&gt;5000</t>
  </si>
  <si>
    <t>83% van alle personeelsleden</t>
  </si>
  <si>
    <t>Eindtotaal</t>
  </si>
  <si>
    <t>18% van alle personeelsleden</t>
  </si>
  <si>
    <t>82% van alle personeelsleden</t>
  </si>
  <si>
    <t>19% van alle personeelsleden</t>
  </si>
  <si>
    <t>81% van alle personeelsleden</t>
  </si>
  <si>
    <t>Tabel 3.75: evolutie van de totale salarisuitgaven van AGODI</t>
  </si>
  <si>
    <t>Salarissen</t>
  </si>
  <si>
    <t>Vakantiegeld</t>
  </si>
  <si>
    <t>EJT</t>
  </si>
  <si>
    <t>RSZ</t>
  </si>
  <si>
    <t>Tabel 3.76: gemiddelde salariskost</t>
  </si>
  <si>
    <t xml:space="preserve">Vast benoemde personeelsleden </t>
  </si>
  <si>
    <t>Tijdelijke personeelsleden</t>
  </si>
  <si>
    <t>Kleuteronderwijzer*</t>
  </si>
  <si>
    <t>Onderwijzer*</t>
  </si>
  <si>
    <t>Leraar-regent/bachelor*</t>
  </si>
  <si>
    <t>Leraar licentiaat/master</t>
  </si>
  <si>
    <r>
      <t>*</t>
    </r>
    <r>
      <rPr>
        <i/>
        <sz val="10"/>
        <rFont val="Calibri"/>
        <family val="2"/>
        <scheme val="minor"/>
      </rPr>
      <t>Kleuteronderwijzer, onderwijzer en leraar -regent/bachelor hebben hetzelfde jaarsalaris aan 100 procent, maar doordat de gemiddelde geldelijke anciënniteit voor de drie groepen verschillend is, vertoont ook de gemiddelde jaarkost kleine verschillen.</t>
    </r>
  </si>
  <si>
    <t>Tabel 3.77: aanstellingen volgens bekwaamheidsbewijs*</t>
  </si>
  <si>
    <t>Bekwaamheids-rubricering</t>
  </si>
  <si>
    <t>Vereist</t>
  </si>
  <si>
    <t>Voldoend geacht</t>
  </si>
  <si>
    <t>Ander</t>
  </si>
  <si>
    <t>CLB’s</t>
  </si>
  <si>
    <t xml:space="preserve">Totaal </t>
  </si>
  <si>
    <t>* cijfers uit januari</t>
  </si>
  <si>
    <t>Tabel 3.78: totaal behandelde dossiers*/jaar professionele erkenningen van buitenlandse leerkrachten</t>
  </si>
  <si>
    <r>
      <t>*</t>
    </r>
    <r>
      <rPr>
        <i/>
        <sz val="10"/>
        <rFont val="Calibri"/>
        <family val="2"/>
        <scheme val="minor"/>
      </rPr>
      <t xml:space="preserve">Het gaat hierbij uitsluitend om de buitenlandse leerkrachten die via de procedure van de professionele erkenningen in Vlaanderen een conformiteitsattest krijgen om les te geven in het Vlaams onderwijs. Buitenlandse leerkrachten die via andere procedures (bijvoorbeeld via de academische gelijkwaardigheid bij NARIC-Vlaanderen, via de erkenning van artistieke of nuttige ervaring) in het Vlaams onderwijs aan de slag gaan, vallen erbuiten. </t>
    </r>
  </si>
  <si>
    <t>Tabel 3.79: overzicht cumulatie (in VTE)*</t>
  </si>
  <si>
    <t>VTE in overwerk of bijbetrekking</t>
  </si>
  <si>
    <t xml:space="preserve">Aantal 2018-2019 </t>
  </si>
  <si>
    <t xml:space="preserve">Aantal 2019-2020 </t>
  </si>
  <si>
    <t>Aantal 2020-2021</t>
  </si>
  <si>
    <t>Aantal 2021-2022</t>
  </si>
  <si>
    <t xml:space="preserve">Evolutie ten opzichte van vorig schooljaar </t>
  </si>
  <si>
    <r>
      <t xml:space="preserve">Tabel 3.80: aantal personeelsleden in ziekteverlof </t>
    </r>
    <r>
      <rPr>
        <sz val="8"/>
        <rFont val="Calibri"/>
        <family val="2"/>
      </rPr>
      <t> </t>
    </r>
  </si>
  <si>
    <t>Aantal personeelsleden 2017-2018</t>
  </si>
  <si>
    <t>Aantal personeelsleden 2018-2019</t>
  </si>
  <si>
    <t>Aantal personeelsleden 2019-2020</t>
  </si>
  <si>
    <t>Aantal personeelsleden 2020-2021</t>
  </si>
  <si>
    <t>Aantal personeelsleden 2021-2022</t>
  </si>
  <si>
    <t>Evolutie ten opzichte van vorig schooljaar</t>
  </si>
  <si>
    <t>Totaal AGODI*</t>
  </si>
  <si>
    <t>*Op het niveau van AGODI worden er dubbeltellingen uitgesloten. Een personeelslid dat een ziekteverlof heeft en in meerdere onderwijsniveaus staat, wordt maar een keer geteld. In de afzonderlijke onderwijsniveaus zal dat personeelslid per onderwijsniveau worden geteld. De cijfers voor het totaal van AGODI zijn dan ook lager dan de optelsom van de cijfers voor de verschillende onderwijsniveaus.</t>
  </si>
  <si>
    <r>
      <t xml:space="preserve">Tabel 3.81: aantal personeelsleden in TBS ziekte, onbezoldigd ziekteverlof, VVP wegens ziekte en langdurig VVP wegens medische redenen </t>
    </r>
    <r>
      <rPr>
        <sz val="8"/>
        <rFont val="Calibri"/>
        <family val="2"/>
      </rPr>
      <t> </t>
    </r>
  </si>
  <si>
    <t>Dienstonderbreking</t>
  </si>
  <si>
    <t>TBS ziekte (vast benoemd)</t>
  </si>
  <si>
    <t>Onbezoldigd ziekteverlof (tijdelijk)</t>
  </si>
  <si>
    <t>VVP wegens ziekte</t>
  </si>
  <si>
    <t>Langdurig VVP medische redenen</t>
  </si>
  <si>
    <t>Tabel 3.82: aantal personeelsleden in een dienstonderbreking naar aanleiding van een geboorte of adoptie van een kind voor alle onderwijsniveaus</t>
  </si>
  <si>
    <t>Bevallingsverlof</t>
  </si>
  <si>
    <t>Bedreigd door een beroepsziekte</t>
  </si>
  <si>
    <t>Omstandigheidsverlof n.a.v. de geboorte (10 dagen)</t>
  </si>
  <si>
    <t>Onbezoldigd ouderschapsverlof</t>
  </si>
  <si>
    <t>Moederschaps-bescherming</t>
  </si>
  <si>
    <t>Overschrijding postnatale periode</t>
  </si>
  <si>
    <t>Facultatieve verlenging bevallingsverlof bij hospitalisatie kind</t>
  </si>
  <si>
    <t>Adoptieverlof</t>
  </si>
  <si>
    <t>Geboorteverlof</t>
  </si>
  <si>
    <t>Tabel 3.34: aantal personeelsleden in een dienstonderbreking naar aanleiding van een geboorte van een kind per onderwijsniveau*</t>
  </si>
  <si>
    <t>Bevallingsverlof
2021-2022</t>
  </si>
  <si>
    <t>Bedreigd door beroepsziekte
2021-2022</t>
  </si>
  <si>
    <t>Moederschapsbescherming 
2021-2022</t>
  </si>
  <si>
    <t>Aantal personen</t>
  </si>
  <si>
    <t>Vergelijking vorig schooljaar</t>
  </si>
  <si>
    <t>*De cijfers opgesplitst per onderwijsniveau verschillen licht van de totalen, doordat personeelsleden in meerdere onderwijsniveaus kunnen aangesteld zijn.</t>
  </si>
  <si>
    <t>Bevallingsverlof
2020-2021</t>
  </si>
  <si>
    <t>Bedreigd door beroepsziekte
2020-2021</t>
  </si>
  <si>
    <t>Moederschapsbescherming 
2020-2021</t>
  </si>
  <si>
    <t>Bevallingsverlof
2019-2020</t>
  </si>
  <si>
    <t xml:space="preserve">Bedreigd door beroepsziekte
2019-2020 </t>
  </si>
  <si>
    <t>Moederschaps-bescherming 
2019-2020</t>
  </si>
  <si>
    <t>Vergelijking 2018-2019</t>
  </si>
  <si>
    <r>
      <t xml:space="preserve">Tabel 3.84: aantal personeelsleden in VVP en AVP </t>
    </r>
    <r>
      <rPr>
        <sz val="8"/>
        <rFont val="Calibri"/>
        <family val="2"/>
      </rPr>
      <t> </t>
    </r>
  </si>
  <si>
    <t>Schooljaar 2017-2018</t>
  </si>
  <si>
    <t>Schooljaar 2018-2019</t>
  </si>
  <si>
    <t>Schooljaar 2019-2020</t>
  </si>
  <si>
    <t>Schooljaar 2020-2021</t>
  </si>
  <si>
    <t>Schooljaar 2021-2022</t>
  </si>
  <si>
    <t>Evolutie ten ozichte van vorig schooljaar</t>
  </si>
  <si>
    <t>Totaal VVP*</t>
  </si>
  <si>
    <t xml:space="preserve">Totaal Afwezigheid Verminderde prestatie (AVP) </t>
  </si>
  <si>
    <t>*Zonder VVP wegens arbeidsongeval/pensioencommissie/beroepsziekte</t>
  </si>
  <si>
    <t>Tabel 3.85: personeelsleden in VVP of AVP voor alle onderwijsniveaus</t>
  </si>
  <si>
    <t>Aantal personeelsleden schooljaar 2017-2018</t>
  </si>
  <si>
    <t>Aantal personeelsleden schooljaar 2018-2019</t>
  </si>
  <si>
    <t>Aantal personeelsleden schooljaar 2019-2020</t>
  </si>
  <si>
    <t>Aantal personeelsleden schooljaar 2020-2021</t>
  </si>
  <si>
    <t>Aantal personeelsleden schooljaar 2021-2022</t>
  </si>
  <si>
    <t>VVP n.a.v. arbeidsongeval</t>
  </si>
  <si>
    <t>Verlof voor verminderde prestaties ziekte – Pensioencommissie</t>
  </si>
  <si>
    <t>Verlof voor verminderde prestaties wegens beroepsziekte</t>
  </si>
  <si>
    <t>Verlof voor verminderde prestaties voltijds</t>
  </si>
  <si>
    <t>Verlof voor verminderde prestaties halftijds</t>
  </si>
  <si>
    <t>Verlof voor verminderde prestaties afwijking volume</t>
  </si>
  <si>
    <t>Verlof voor verminderde prestaties vanaf 55 jaar halftijds</t>
  </si>
  <si>
    <t>Verlof voor verminderde prestaties vanaf 55 jaar afwijking volume</t>
  </si>
  <si>
    <t>Afwezigheid voor verminderde prestaties</t>
  </si>
  <si>
    <t xml:space="preserve"> Totaal</t>
  </si>
  <si>
    <r>
      <t>Tabel 3.86: aantal personeelsleden in loopbaanonderbreking 50+ of 55+</t>
    </r>
    <r>
      <rPr>
        <sz val="8"/>
        <rFont val="Calibri"/>
        <family val="2"/>
      </rPr>
      <t> </t>
    </r>
  </si>
  <si>
    <t>Halftijdse loopbaanonderbreking 50+</t>
  </si>
  <si>
    <t>Gedeeltelijke LBO 50+ met 1/5</t>
  </si>
  <si>
    <t>GLBO55+ halftijds</t>
  </si>
  <si>
    <t>GLBO55+ met 1/5</t>
  </si>
  <si>
    <r>
      <t xml:space="preserve">Tabel 3.87: aantal personeelsleden met een thematische loopbaanonderbreking </t>
    </r>
    <r>
      <rPr>
        <sz val="8"/>
        <rFont val="Calibri"/>
        <family val="2"/>
      </rPr>
      <t> </t>
    </r>
  </si>
  <si>
    <t>Volledige loopbaanonderbreking voor palliatieve zorgen</t>
  </si>
  <si>
    <t>Halftijdse loopbaanonderbreking voor palliatieve zorgen</t>
  </si>
  <si>
    <t>Ouderschapsverlof in het kader van de volledige Loopbaanonderbreking</t>
  </si>
  <si>
    <t>Volledige loopbaanonderbreking voor medische bijstand</t>
  </si>
  <si>
    <t>Halftijdse loopbaanonderbreking voor medische bijstand</t>
  </si>
  <si>
    <t>Ouderschapsverlof in het kader van een halftijdse loopbaanonderbreking</t>
  </si>
  <si>
    <t>Ouderschapsverlof in het kader van GLBO met 1/5</t>
  </si>
  <si>
    <t>GLBO voor medische bijstand met 1/5</t>
  </si>
  <si>
    <t>GLBO voor palliatieve zorgen met 1/5</t>
  </si>
  <si>
    <t>GLBO met 1/10 de voor ouderschapsverlof *</t>
  </si>
  <si>
    <t>Volledige loopbaanonderbreking voor mantelzorg *</t>
  </si>
  <si>
    <t>Halftijdse loopbaanonderbreking voor mantelzorg *</t>
  </si>
  <si>
    <t>GLBO met 1/5de voor mantelzorg *</t>
  </si>
  <si>
    <t>*De GLBO met 1/10 voor ouderschapsverlof en de volledige, halftijdse en 1/5 loopbaanonderbreking voor mantelzorg zijn pas geldig vanaf 01-09-2020.</t>
  </si>
  <si>
    <r>
      <t>Tabel 3.88: aantal personeelsleden met zorgkrediet</t>
    </r>
    <r>
      <rPr>
        <sz val="8"/>
        <rFont val="Calibri"/>
        <family val="2"/>
      </rPr>
      <t> </t>
    </r>
  </si>
  <si>
    <t>Zorgkrediet voor een kind tot en met 12 jaar voltijds</t>
  </si>
  <si>
    <t>Zorgkrediet voor een kind tot en met 12 jaar halftijds</t>
  </si>
  <si>
    <t>Zorgkrediet voor een kind tot en met 12 jaar met 1/5</t>
  </si>
  <si>
    <t>Zorgkrediet voor medische bijstand voltijds</t>
  </si>
  <si>
    <t>Zorgkrediet voor medische bijstand halftijds</t>
  </si>
  <si>
    <t>Zorgkrediet voor medische bijstand met 1/5</t>
  </si>
  <si>
    <t>Zorgkrediet voor palliatieve zorg voltijds</t>
  </si>
  <si>
    <t>Zorgkrediet voor palliatieve zorg halftijds</t>
  </si>
  <si>
    <t>Zorgkrediet voor palliatieve zorg met 1/5</t>
  </si>
  <si>
    <t>Zorgkrediet voor een kind met een handicap voltijds</t>
  </si>
  <si>
    <t>Zorgkrediet voor een kind met een handicap halftijds</t>
  </si>
  <si>
    <t>Zorgkrediet voor een kind met een handicap met 1/5</t>
  </si>
  <si>
    <t>Zorgkrediet voor opleiding voltijds</t>
  </si>
  <si>
    <t>Zorgkrediet voor opleiding halftijds</t>
  </si>
  <si>
    <t>Zorgkrediet voor opleiding met 1/5</t>
  </si>
  <si>
    <t>Tabel 3.89: aantal personeelsleden in diverse dienstonderbrekingen</t>
  </si>
  <si>
    <t>Halftijds politiek verlof</t>
  </si>
  <si>
    <t xml:space="preserve">Voltijds politiek verlof </t>
  </si>
  <si>
    <t>Omstandigheidsverlof</t>
  </si>
  <si>
    <t>Ongewettigde afwezigheid</t>
  </si>
  <si>
    <t>Nascholing volgen</t>
  </si>
  <si>
    <t>Tabel 3.90: aantal vaste benoemingen per niveau en per net op 01-01-2022*</t>
  </si>
  <si>
    <t>GO!</t>
  </si>
  <si>
    <t>Vrij</t>
  </si>
  <si>
    <t>Officieel</t>
  </si>
  <si>
    <t>Totaal
01-01-2022</t>
  </si>
  <si>
    <t>Totaal
 01-01-2021</t>
  </si>
  <si>
    <t>Evolutie
totaal</t>
  </si>
  <si>
    <t>Internaten</t>
  </si>
  <si>
    <t>Totaal 01-01-2022</t>
  </si>
  <si>
    <t>Totaal 01-01-2021</t>
  </si>
  <si>
    <t>Evolutie totaal</t>
  </si>
  <si>
    <t>* Een vaste benoeming wordt geteld per stamboeknummer, instellingsnummer en instellingsstructuur. Door die telwijze ligt het aantal vaste benoemingen hoger dan het aantal betrokken personeelsleden.</t>
  </si>
  <si>
    <t>Totaal
01-01-2021</t>
  </si>
  <si>
    <t>Totaal
 01-01-2020</t>
  </si>
  <si>
    <t>Totaal 01-01-2020</t>
  </si>
  <si>
    <t>Totaal
01-01-2020</t>
  </si>
  <si>
    <t>Totaal
 01-01-2019</t>
  </si>
  <si>
    <t>Totaal 01-01-2019</t>
  </si>
  <si>
    <t>Totaal 1.1.2019</t>
  </si>
  <si>
    <t>Totaal   1.1.2018</t>
  </si>
  <si>
    <t>Totaal 1.1.2018</t>
  </si>
  <si>
    <t>Totaal 1.7.2018</t>
  </si>
  <si>
    <t>Totaal 1.7.2017</t>
  </si>
  <si>
    <t>Tabel 3.91: personeelsleden in TBSOB in aantallen en VTE*</t>
  </si>
  <si>
    <t>Aantal personeelsleden</t>
  </si>
  <si>
    <t>Voltijdse equivalenten</t>
  </si>
  <si>
    <t>Deeltijds Kunstonderwijs</t>
  </si>
  <si>
    <t>GO</t>
  </si>
  <si>
    <t>VGO</t>
  </si>
  <si>
    <t>OGO</t>
  </si>
  <si>
    <t>Eindtotaal 2021-2022</t>
  </si>
  <si>
    <t>Eindtotaal 2020-2021</t>
  </si>
  <si>
    <t>*cijfers op 30-06-2022</t>
  </si>
  <si>
    <t>Eindtotaal 2019-2020</t>
  </si>
  <si>
    <t>*cijfers op 30-06-2021</t>
  </si>
  <si>
    <t>Basis-onderwijs</t>
  </si>
  <si>
    <t xml:space="preserve">Eindtotaal 2018-2019 </t>
  </si>
  <si>
    <t>Evolutie totaal t.o.v. 2018-2019</t>
  </si>
  <si>
    <t xml:space="preserve">2018-2019 </t>
  </si>
  <si>
    <t xml:space="preserve">Eindtotaal 2017-2018 </t>
  </si>
  <si>
    <t>Evolutie totaal t.o.v. 2017-2018</t>
  </si>
  <si>
    <t xml:space="preserve">Eindtotaal 2016-2017 </t>
  </si>
  <si>
    <t>Evolutie totaal t.o.v. 2016-2017</t>
  </si>
  <si>
    <t>Tabel 3.92: aantal VTE personeelsleden in TBSOB zonder reaffectatie of wedertewerkstelling in een organieke betrekking*</t>
  </si>
  <si>
    <t>BaO</t>
  </si>
  <si>
    <t>SO</t>
  </si>
  <si>
    <t>*cijfers op 30 juni</t>
  </si>
  <si>
    <t>Evolutie t.o.v. 2018-2019</t>
  </si>
  <si>
    <t>-</t>
  </si>
  <si>
    <t>Evolutie t.o.v. 2017-2018</t>
  </si>
  <si>
    <t>Evolutie t.o.v. 2016-2017</t>
  </si>
  <si>
    <t>Tabel 3.93: aantal personeelsleden met een tijdelijk andere opdracht*</t>
  </si>
  <si>
    <t>Internaat/IPO</t>
  </si>
  <si>
    <t>* Personeelsleden met een TAO-opdracht in meer dan 1 onderwijsniveau worden voor elk onderwijsniveau afzonderlijk geteld.</t>
  </si>
  <si>
    <t>Tabel 3.94: aantal personeelsleden met nieuwe affectatie, mutatie, herstructurering</t>
  </si>
  <si>
    <t>Soort Onderwijs</t>
  </si>
  <si>
    <t>Reden</t>
  </si>
  <si>
    <t>Herstructurering</t>
  </si>
  <si>
    <t>Mutatie</t>
  </si>
  <si>
    <t>Wijziging affectatie of aanwijzing</t>
  </si>
  <si>
    <r>
      <t xml:space="preserve">Tabel 3.95: aantal </t>
    </r>
    <r>
      <rPr>
        <b/>
        <i/>
        <sz val="11"/>
        <color rgb="FF000000"/>
        <rFont val="Calibri"/>
        <family val="2"/>
      </rPr>
      <t>outplacers</t>
    </r>
    <r>
      <rPr>
        <b/>
        <sz val="11"/>
        <color rgb="FF000000"/>
        <rFont val="Calibri"/>
        <family val="2"/>
      </rPr>
      <t xml:space="preserve"> verdeeld over de sectoren</t>
    </r>
  </si>
  <si>
    <t>Sectoren</t>
  </si>
  <si>
    <t>Sector Gezondheidszorg</t>
  </si>
  <si>
    <t>Sector Welzijn</t>
  </si>
  <si>
    <t>Sector Kind en Gezin</t>
  </si>
  <si>
    <t>Sector Gehandicapten</t>
  </si>
  <si>
    <t>Sector natuur en milieu</t>
  </si>
  <si>
    <t>Tabel 3.96: overzicht opbouw NIV in aantal personeelsleden per onderwijsniveau</t>
  </si>
  <si>
    <t>Aantal personeelsleden
2018-2019</t>
  </si>
  <si>
    <t>Aantal personeelsleden
2019-2020</t>
  </si>
  <si>
    <t>Aantal personeelsleden
2020-2021</t>
  </si>
  <si>
    <t>Evolutie aantal personeelsleden
ten opzichte van vorig schooljaar</t>
  </si>
  <si>
    <t>Opmerking: een personeelslid dat in meer dan één onderwijsniveau staat, wordt in elk onderwijsniveau afzonderlijk geteld. Bij het totaal wordt ieder personeelslid maar één keer geteld.</t>
  </si>
  <si>
    <t>Tabel 3.97: overzicht opbouw NIV in aantal VTE per onderwijsniveau</t>
  </si>
  <si>
    <t>Aantal VTE
2018-2019</t>
  </si>
  <si>
    <t>Aantal VTE
2019-2020</t>
  </si>
  <si>
    <t>Aantal VTE
2020-2021</t>
  </si>
  <si>
    <t>Aantal VTE 2021-2022</t>
  </si>
  <si>
    <t>Evolutie VTE
ten opzichte van vorig schooljaar</t>
  </si>
  <si>
    <t>Tabel 3.98: aantal personeelsleden met tucht- of bewarende maatregel</t>
  </si>
  <si>
    <t>Preventieve schorsing</t>
  </si>
  <si>
    <t>TBS ambtsontheffing in belang dienst</t>
  </si>
  <si>
    <t>TBS bij tuchtmaatregel</t>
  </si>
  <si>
    <t>Schorsing bij tuchtmaatregel</t>
  </si>
  <si>
    <t>Tabel 3.99: aantal nieuwe personeelsleden in het onderwijs*</t>
  </si>
  <si>
    <t>Onderwijsniveaus</t>
  </si>
  <si>
    <t>Centra voor leerlingenbegeleiding</t>
  </si>
  <si>
    <t>Totaal AGODI</t>
  </si>
  <si>
    <t>* Een aantal personeelsleden werkt in meerdere onderwijsniveaus tegelijkertijd. Die personeelsleden worden dan in elk onderwijsniveau afzonderlijk geteld. In het totaalcijfer tellen die personeelsleden maar een keer mee.</t>
  </si>
  <si>
    <t>Tabel 3.100: aantal personeelsleden in het stelsel van TBSPA voorafgaand aan het rustpensioen</t>
  </si>
  <si>
    <t>Bonus (°1947-1954)</t>
  </si>
  <si>
    <t xml:space="preserve">TBSVP                 </t>
  </si>
  <si>
    <t>Tabel 3.101: aantal afgehandelde dossiers terbeschikkingstelling voorafgaand aan het rustpensioen (TBSVP)</t>
  </si>
  <si>
    <t>Evolutie ten opzichte van vorig kalenderjaar</t>
  </si>
  <si>
    <t>Basisonderwijs en CLB’s</t>
  </si>
  <si>
    <t>Tabel 3.102: aantal afgehandelde overdrachten</t>
  </si>
  <si>
    <t>Overdrachten</t>
  </si>
  <si>
    <t>Tabel 3.103: overzicht terugvorderingen</t>
  </si>
  <si>
    <t>Resterende terugvorderingen</t>
  </si>
  <si>
    <t>- waarvan terugvorderingen inrichtende machten</t>
  </si>
  <si>
    <t>- waarvan lonen AGODI</t>
  </si>
  <si>
    <t>PWB</t>
  </si>
  <si>
    <t>Detacheringen</t>
  </si>
  <si>
    <t>Tabel 3.104: teruggevorderde bedragen bij terugvorderingen ongevallen met derden</t>
  </si>
  <si>
    <t>Tabel 3.105: teruggevorderde bedragen bij terugvorderingsdossiers en vastgestelde rechten bij PWB's en detacheringen</t>
  </si>
  <si>
    <t>Evolutie
 ten opzichte van vorig schooljaar</t>
  </si>
  <si>
    <t>Dossiers</t>
  </si>
  <si>
    <t>Rechten</t>
  </si>
  <si>
    <t xml:space="preserve">Personeel ten laste van het werkingsbudget </t>
  </si>
  <si>
    <t>Tabel 3.106: aantal afwezigheden wegens arbeidsongeval</t>
  </si>
  <si>
    <t>Aantal personeelsleden 2016-2017</t>
  </si>
  <si>
    <t xml:space="preserve">*Op het totaal van AGODI worden dubbeltellingen uitgesloten. Een personeelslid dat een arbeidsongeval heeft en in meerdere onderwijsniveaus staat, wordt maar een keer geteld. In de afzonderlijke onderwijsniveaus wordt dat personeelslid per onderwijsniveau geteld. De cijfers voor ‘Totaal AGODI’ zijn dan ook lager dan de optelsom van de cijfers voor de verschillende onderwijsniveaus. </t>
  </si>
  <si>
    <t>Tabel 3.107: aantal aangiften en afhandelingen arbeidsongevallen</t>
  </si>
  <si>
    <t>Arbeidsongevallen</t>
  </si>
  <si>
    <t>Aangiften arbeidsongeval onderwijs</t>
  </si>
  <si>
    <t>Arbeidsongevallen met derden</t>
  </si>
  <si>
    <t>Arbeidsongevallen zonder derden</t>
  </si>
  <si>
    <t>Arbeidsongevallen door agressie</t>
  </si>
  <si>
    <t>Agressie van leerlingen</t>
  </si>
  <si>
    <t>Agressie van ouders of familie</t>
  </si>
  <si>
    <t>Agressie van buitenstaanders</t>
  </si>
  <si>
    <t>Arbeidsongevallen ambtenaren</t>
  </si>
  <si>
    <t>Beroepsziekten</t>
  </si>
  <si>
    <t>Buitendienstongevallen</t>
  </si>
  <si>
    <t>Tabel 3.108: aantal personeelsleden in het lerarenplatform</t>
  </si>
  <si>
    <t>Basisonderwijs </t>
  </si>
  <si>
    <t>Secundair onderwijs </t>
  </si>
  <si>
    <t xml:space="preserve"> -</t>
  </si>
  <si>
    <t>Vanaf het schooljaar 2020-2021 is er geen lerarenplatform meer voor het  secundair onderwijs</t>
  </si>
  <si>
    <t>Tabel 3.109: aantal samenwerkingsplatforms in het lerarenplatform</t>
  </si>
  <si>
    <t>Samenwerkingsplatforms</t>
  </si>
  <si>
    <t>Schooljaar 
2018-2019</t>
  </si>
  <si>
    <t>Vanaf het schooljaar 20-21 is er geen lerarenplatform meer voor het secundair onderwijs</t>
  </si>
  <si>
    <t>Tabel 3.110: verdeling personeelsleden volgens geslacht in het lerarenplatform</t>
  </si>
  <si>
    <r>
      <t>Schooljaar 2021-2022</t>
    </r>
    <r>
      <rPr>
        <sz val="11"/>
        <rFont val="Calibri"/>
        <family val="2"/>
        <scheme val="minor"/>
      </rPr>
      <t> </t>
    </r>
  </si>
  <si>
    <t>Man</t>
  </si>
  <si>
    <t>Vrouw</t>
  </si>
  <si>
    <t>Basisonderwijs  </t>
  </si>
  <si>
    <t>Secundair onderwijs *</t>
  </si>
  <si>
    <r>
      <t>Totaal</t>
    </r>
    <r>
      <rPr>
        <sz val="11"/>
        <rFont val="Calibri"/>
        <family val="2"/>
        <scheme val="minor"/>
      </rPr>
      <t> </t>
    </r>
  </si>
  <si>
    <t xml:space="preserve"> * Vanaf schooljaar 2020-2021 werd het lerarenplatform in het secundair onderwijs niet verlengd.</t>
  </si>
  <si>
    <r>
      <t>Schooljaar 2020-2021</t>
    </r>
    <r>
      <rPr>
        <sz val="11"/>
        <rFont val="Calibri"/>
        <family val="2"/>
        <scheme val="minor"/>
      </rPr>
      <t> </t>
    </r>
  </si>
  <si>
    <r>
      <t>Schooljaar 2019-2020</t>
    </r>
    <r>
      <rPr>
        <sz val="11"/>
        <rFont val="Calibri"/>
        <family val="2"/>
        <scheme val="minor"/>
      </rPr>
      <t> </t>
    </r>
  </si>
  <si>
    <t xml:space="preserve">Basisonderwijs </t>
  </si>
  <si>
    <t>Tabel 3.111: verdeling per volume van de aanstelling in het lerarenplatform</t>
  </si>
  <si>
    <t>≤ ¼</t>
  </si>
  <si>
    <r>
      <t>&gt;¼ -</t>
    </r>
    <r>
      <rPr>
        <b/>
        <sz val="11"/>
        <rFont val="Calibri"/>
        <family val="2"/>
      </rPr>
      <t>½</t>
    </r>
  </si>
  <si>
    <r>
      <t>&gt;</t>
    </r>
    <r>
      <rPr>
        <b/>
        <sz val="11"/>
        <rFont val="Calibri"/>
        <family val="2"/>
      </rPr>
      <t>½</t>
    </r>
    <r>
      <rPr>
        <b/>
        <sz val="11"/>
        <rFont val="Calibri"/>
        <family val="2"/>
        <scheme val="minor"/>
      </rPr>
      <t xml:space="preserve"> -</t>
    </r>
    <r>
      <rPr>
        <b/>
        <sz val="11"/>
        <rFont val="Calibri"/>
        <family val="2"/>
      </rPr>
      <t>¾</t>
    </r>
  </si>
  <si>
    <r>
      <t>&gt;¾</t>
    </r>
    <r>
      <rPr>
        <sz val="11"/>
        <rFont val="Calibri"/>
        <family val="2"/>
        <scheme val="minor"/>
      </rPr>
      <t> </t>
    </r>
  </si>
  <si>
    <r>
      <t xml:space="preserve">&lt; </t>
    </r>
    <r>
      <rPr>
        <b/>
        <sz val="11"/>
        <rFont val="Calibri"/>
        <family val="2"/>
      </rPr>
      <t>¼</t>
    </r>
  </si>
  <si>
    <t>Verlof voor verminderde prestaties met 1/5</t>
  </si>
  <si>
    <t>Verlof voor verminderde prestaties vanaf 55 jaar met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</si>
</sst>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_ * #,##0_ ;_ * \-#,##0_ ;_ * &quot;-&quot;??_ ;_ @_ "/>
    <numFmt numFmtId="166" formatCode="0.0%"/>
    <numFmt numFmtId="167" formatCode="0.0"/>
    <numFmt numFmtId="168" formatCode="#,##0.00_ ;[Red]\-#,##0.00\ "/>
  </numFmts>
  <fonts count="39">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i/>
      <sz val="10"/>
      <color theme="1"/>
      <name val="Calibri"/>
      <family val="2"/>
      <scheme val="minor"/>
    </font>
    <font>
      <b/>
      <sz val="11"/>
      <name val="Calibri"/>
      <family val="2"/>
      <scheme val="minor"/>
    </font>
    <font>
      <sz val="11"/>
      <name val="Calibri"/>
      <family val="2"/>
      <scheme val="minor"/>
    </font>
    <font>
      <u/>
      <sz val="11"/>
      <color theme="10"/>
      <name val="Calibri"/>
      <family val="2"/>
      <scheme val="minor"/>
    </font>
    <font>
      <i/>
      <sz val="10"/>
      <name val="Calibri"/>
      <family val="2"/>
      <scheme val="minor"/>
    </font>
    <font>
      <b/>
      <i/>
      <sz val="10"/>
      <name val="Calibri"/>
      <family val="2"/>
      <scheme val="minor"/>
    </font>
    <font>
      <sz val="10"/>
      <name val="Calibri"/>
      <family val="2"/>
      <scheme val="minor"/>
    </font>
    <font>
      <b/>
      <sz val="11"/>
      <name val="Calibri"/>
      <family val="2"/>
    </font>
    <font>
      <i/>
      <sz val="10"/>
      <color theme="1"/>
      <name val="Calibrii"/>
    </font>
    <font>
      <sz val="8"/>
      <name val="Calibri"/>
      <family val="2"/>
    </font>
    <font>
      <u/>
      <sz val="11"/>
      <name val="Calibri"/>
      <family val="2"/>
      <scheme val="minor"/>
    </font>
    <font>
      <i/>
      <sz val="11"/>
      <color theme="1"/>
      <name val="Calibri"/>
      <family val="2"/>
      <scheme val="minor"/>
    </font>
    <font>
      <i/>
      <sz val="11"/>
      <name val="Calibri"/>
      <family val="2"/>
      <scheme val="minor"/>
    </font>
    <font>
      <sz val="11"/>
      <color rgb="FF000000"/>
      <name val="Calibri"/>
      <family val="2"/>
    </font>
    <font>
      <sz val="10"/>
      <name val="Calibri"/>
      <family val="2"/>
    </font>
    <font>
      <b/>
      <sz val="10"/>
      <color rgb="FF000000"/>
      <name val="Calibri"/>
      <family val="2"/>
    </font>
    <font>
      <sz val="11"/>
      <color rgb="FFFF0000"/>
      <name val="Calibri"/>
      <family val="2"/>
      <scheme val="minor"/>
    </font>
    <font>
      <b/>
      <sz val="11"/>
      <color rgb="FF000000"/>
      <name val="Calibri"/>
      <family val="2"/>
    </font>
    <font>
      <sz val="10"/>
      <color rgb="FF000000"/>
      <name val="Times New Roman"/>
      <family val="1"/>
    </font>
    <font>
      <sz val="11"/>
      <color rgb="FF006100"/>
      <name val="Calibri"/>
      <family val="2"/>
      <scheme val="minor"/>
    </font>
    <font>
      <sz val="10"/>
      <color theme="1"/>
      <name val="Arial"/>
      <family val="2"/>
    </font>
    <font>
      <b/>
      <sz val="10"/>
      <color theme="1"/>
      <name val="Arial"/>
      <family val="2"/>
    </font>
    <font>
      <sz val="10"/>
      <name val="Arial"/>
      <family val="2"/>
    </font>
    <font>
      <b/>
      <sz val="10"/>
      <name val="Arial"/>
      <family val="2"/>
    </font>
    <font>
      <i/>
      <sz val="11"/>
      <color rgb="FF000000"/>
      <name val="Calibri"/>
      <family val="2"/>
    </font>
    <font>
      <b/>
      <i/>
      <sz val="11"/>
      <color rgb="FF000000"/>
      <name val="Calibri"/>
      <family val="2"/>
    </font>
    <font>
      <b/>
      <sz val="12"/>
      <color theme="1"/>
      <name val="Calibri"/>
      <family val="2"/>
      <scheme val="minor"/>
    </font>
    <font>
      <sz val="8"/>
      <name val="Calibri"/>
      <family val="2"/>
      <scheme val="minor"/>
    </font>
    <font>
      <i/>
      <sz val="10"/>
      <color rgb="FF000000"/>
      <name val="Calibri"/>
      <family val="2"/>
    </font>
    <font>
      <sz val="10"/>
      <color rgb="FF000000"/>
      <name val="Calibri"/>
      <family val="2"/>
      <scheme val="minor"/>
    </font>
    <font>
      <sz val="11"/>
      <color theme="4"/>
      <name val="Calibri"/>
      <family val="2"/>
      <scheme val="minor"/>
    </font>
    <font>
      <sz val="11"/>
      <name val="Calibri"/>
      <family val="2"/>
    </font>
    <font>
      <sz val="10"/>
      <color indexed="8"/>
      <name val="Arial"/>
    </font>
    <font>
      <sz val="11"/>
      <color indexed="8"/>
      <name val="Calibri"/>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right style="medium">
        <color indexed="64"/>
      </right>
      <top/>
      <bottom/>
      <diagonal/>
    </border>
  </borders>
  <cellStyleXfs count="6">
    <xf numFmtId="0" fontId="0" fillId="0" borderId="0"/>
    <xf numFmtId="9" fontId="4" fillId="0" borderId="0" applyFont="0" applyFill="0" applyBorder="0" applyAlignment="0" applyProtection="0"/>
    <xf numFmtId="0" fontId="8" fillId="0" borderId="0" applyNumberFormat="0" applyFill="0" applyBorder="0" applyAlignment="0" applyProtection="0"/>
    <xf numFmtId="43" fontId="4" fillId="0" borderId="0" applyFont="0" applyFill="0" applyBorder="0" applyAlignment="0" applyProtection="0"/>
    <xf numFmtId="0" fontId="24" fillId="5" borderId="0" applyNumberFormat="0" applyBorder="0" applyAlignment="0" applyProtection="0"/>
    <xf numFmtId="0" fontId="37" fillId="0" borderId="0"/>
  </cellStyleXfs>
  <cellXfs count="337">
    <xf numFmtId="0" fontId="0" fillId="0" borderId="0" xfId="0"/>
    <xf numFmtId="0" fontId="6" fillId="0" borderId="0" xfId="0" applyFont="1" applyAlignment="1">
      <alignment vertical="center"/>
    </xf>
    <xf numFmtId="0" fontId="0" fillId="3" borderId="0" xfId="0" applyFill="1"/>
    <xf numFmtId="0" fontId="6" fillId="3" borderId="0" xfId="0" applyFont="1" applyFill="1" applyAlignment="1">
      <alignment vertical="center"/>
    </xf>
    <xf numFmtId="3" fontId="0" fillId="3" borderId="0" xfId="0" applyNumberFormat="1" applyFill="1"/>
    <xf numFmtId="10" fontId="0" fillId="3" borderId="0" xfId="0" applyNumberFormat="1" applyFill="1"/>
    <xf numFmtId="0" fontId="7" fillId="0" borderId="1" xfId="0" applyFont="1" applyBorder="1" applyAlignment="1">
      <alignment vertical="center"/>
    </xf>
    <xf numFmtId="3" fontId="7" fillId="0" borderId="1" xfId="0" applyNumberFormat="1" applyFont="1" applyBorder="1" applyAlignment="1">
      <alignment horizontal="right" vertical="center"/>
    </xf>
    <xf numFmtId="3" fontId="7" fillId="0" borderId="1" xfId="0" applyNumberFormat="1" applyFont="1" applyBorder="1" applyAlignment="1">
      <alignment horizontal="right" vertical="center" wrapText="1"/>
    </xf>
    <xf numFmtId="10" fontId="7" fillId="0" borderId="1" xfId="0" applyNumberFormat="1" applyFont="1" applyBorder="1" applyAlignment="1">
      <alignment horizontal="right" vertical="center"/>
    </xf>
    <xf numFmtId="0" fontId="6" fillId="0" borderId="1" xfId="0" applyFont="1" applyBorder="1" applyAlignment="1">
      <alignment vertical="center"/>
    </xf>
    <xf numFmtId="3" fontId="6" fillId="0" borderId="1" xfId="0" applyNumberFormat="1" applyFont="1" applyBorder="1" applyAlignment="1">
      <alignment horizontal="right" vertical="center"/>
    </xf>
    <xf numFmtId="3" fontId="6" fillId="0" borderId="1" xfId="0" applyNumberFormat="1" applyFont="1" applyBorder="1" applyAlignment="1">
      <alignment horizontal="right" vertical="center" wrapText="1"/>
    </xf>
    <xf numFmtId="0" fontId="9" fillId="3" borderId="0" xfId="0" applyFont="1" applyFill="1" applyAlignment="1">
      <alignment vertical="center"/>
    </xf>
    <xf numFmtId="0" fontId="5" fillId="3" borderId="0" xfId="0" applyFont="1" applyFill="1"/>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right" vertical="center" wrapText="1"/>
    </xf>
    <xf numFmtId="0" fontId="6" fillId="0" borderId="1" xfId="0" applyFont="1" applyBorder="1" applyAlignment="1">
      <alignment horizontal="right" vertical="center" wrapText="1"/>
    </xf>
    <xf numFmtId="49" fontId="0" fillId="3" borderId="0" xfId="0" applyNumberFormat="1" applyFill="1"/>
    <xf numFmtId="0" fontId="6" fillId="3" borderId="1" xfId="0" applyFont="1" applyFill="1" applyBorder="1" applyAlignment="1">
      <alignment vertical="center" wrapText="1"/>
    </xf>
    <xf numFmtId="16" fontId="7" fillId="3" borderId="1" xfId="0" quotePrefix="1" applyNumberFormat="1" applyFont="1" applyFill="1" applyBorder="1" applyAlignment="1">
      <alignment horizontal="right" vertical="center" wrapText="1"/>
    </xf>
    <xf numFmtId="17" fontId="7" fillId="3" borderId="1" xfId="0" quotePrefix="1"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 xfId="0" applyFont="1" applyFill="1" applyBorder="1" applyAlignment="1">
      <alignment horizontal="right" vertical="center"/>
    </xf>
    <xf numFmtId="0" fontId="6" fillId="3" borderId="1" xfId="0" applyFont="1" applyFill="1" applyBorder="1" applyAlignment="1">
      <alignment horizontal="right" vertical="center"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4" fontId="7"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0" fontId="6" fillId="3" borderId="1" xfId="0" applyFont="1" applyFill="1" applyBorder="1" applyAlignment="1">
      <alignment vertical="center"/>
    </xf>
    <xf numFmtId="0" fontId="6" fillId="3" borderId="1" xfId="0" applyFont="1" applyFill="1" applyBorder="1" applyAlignment="1">
      <alignment horizontal="right" vertical="center"/>
    </xf>
    <xf numFmtId="0" fontId="7" fillId="3" borderId="1" xfId="0" applyFont="1" applyFill="1" applyBorder="1" applyAlignment="1">
      <alignment vertical="center"/>
    </xf>
    <xf numFmtId="3" fontId="7" fillId="3" borderId="1" xfId="0" applyNumberFormat="1" applyFont="1" applyFill="1" applyBorder="1" applyAlignment="1">
      <alignment horizontal="right" vertical="center"/>
    </xf>
    <xf numFmtId="0" fontId="7" fillId="3" borderId="0" xfId="0" applyFont="1" applyFill="1"/>
    <xf numFmtId="0" fontId="1" fillId="0" borderId="0" xfId="0" applyFont="1"/>
    <xf numFmtId="0" fontId="10" fillId="0" borderId="0" xfId="0" applyFont="1" applyAlignment="1">
      <alignment vertical="center"/>
    </xf>
    <xf numFmtId="0" fontId="6" fillId="3" borderId="2" xfId="0" applyFont="1" applyFill="1" applyBorder="1" applyAlignment="1">
      <alignment horizontal="right" vertical="center" wrapText="1"/>
    </xf>
    <xf numFmtId="2" fontId="7"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xf>
    <xf numFmtId="2" fontId="6" fillId="0" borderId="1" xfId="0" applyNumberFormat="1" applyFont="1" applyBorder="1" applyAlignment="1">
      <alignment horizontal="right" vertical="center"/>
    </xf>
    <xf numFmtId="0" fontId="6" fillId="3" borderId="1" xfId="0" applyFont="1" applyFill="1" applyBorder="1" applyAlignment="1">
      <alignment horizontal="justify" vertical="center" wrapText="1"/>
    </xf>
    <xf numFmtId="3" fontId="7" fillId="3" borderId="1" xfId="0" applyNumberFormat="1" applyFont="1" applyFill="1" applyBorder="1" applyAlignment="1">
      <alignment horizontal="right" vertical="center" wrapText="1"/>
    </xf>
    <xf numFmtId="3" fontId="6" fillId="3" borderId="1" xfId="0" applyNumberFormat="1"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5"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7" xfId="0" applyFont="1" applyFill="1" applyBorder="1" applyAlignment="1">
      <alignment horizontal="right" vertical="center" wrapText="1"/>
    </xf>
    <xf numFmtId="0" fontId="6" fillId="0" borderId="1" xfId="0" applyFont="1" applyBorder="1" applyAlignment="1">
      <alignment horizontal="justify" vertical="center"/>
    </xf>
    <xf numFmtId="0" fontId="7" fillId="0" borderId="1" xfId="0" applyFont="1" applyBorder="1" applyAlignment="1">
      <alignment horizontal="justify" vertical="center"/>
    </xf>
    <xf numFmtId="0" fontId="1" fillId="3" borderId="1" xfId="0" applyFont="1" applyFill="1" applyBorder="1" applyAlignment="1">
      <alignment vertical="center" wrapText="1"/>
    </xf>
    <xf numFmtId="0" fontId="0" fillId="3" borderId="1" xfId="0" applyFill="1" applyBorder="1" applyAlignment="1">
      <alignment vertical="center" wrapText="1"/>
    </xf>
    <xf numFmtId="0" fontId="7" fillId="0" borderId="1" xfId="0" applyFont="1" applyBorder="1" applyAlignment="1">
      <alignment vertical="top" wrapText="1"/>
    </xf>
    <xf numFmtId="0" fontId="7" fillId="0" borderId="1" xfId="0" applyFont="1" applyBorder="1" applyAlignment="1">
      <alignment horizontal="left" vertical="center" indent="2"/>
    </xf>
    <xf numFmtId="0" fontId="7" fillId="0" borderId="8" xfId="0" applyFont="1" applyBorder="1" applyAlignment="1">
      <alignment vertical="center" wrapText="1"/>
    </xf>
    <xf numFmtId="0" fontId="7" fillId="0" borderId="8" xfId="0" applyFont="1" applyBorder="1" applyAlignment="1">
      <alignment horizontal="right" vertical="center" wrapText="1"/>
    </xf>
    <xf numFmtId="0" fontId="6" fillId="0" borderId="8" xfId="0" applyFont="1" applyBorder="1" applyAlignment="1">
      <alignment vertical="center" wrapText="1"/>
    </xf>
    <xf numFmtId="0" fontId="6" fillId="3" borderId="8" xfId="0" applyFont="1" applyFill="1" applyBorder="1" applyAlignment="1">
      <alignment vertical="center"/>
    </xf>
    <xf numFmtId="0" fontId="7" fillId="3" borderId="8" xfId="0" applyFont="1" applyFill="1" applyBorder="1" applyAlignment="1">
      <alignment vertical="center" wrapText="1"/>
    </xf>
    <xf numFmtId="0" fontId="7" fillId="3" borderId="8" xfId="0" applyFont="1" applyFill="1" applyBorder="1" applyAlignment="1">
      <alignment horizontal="right" vertical="center" wrapText="1"/>
    </xf>
    <xf numFmtId="0" fontId="6" fillId="3" borderId="8" xfId="0" applyFont="1" applyFill="1" applyBorder="1" applyAlignment="1">
      <alignment vertical="center" wrapText="1"/>
    </xf>
    <xf numFmtId="0" fontId="6" fillId="3" borderId="8" xfId="0" applyFont="1" applyFill="1" applyBorder="1" applyAlignment="1">
      <alignment horizontal="right" vertical="center"/>
    </xf>
    <xf numFmtId="0" fontId="6" fillId="3" borderId="8" xfId="0" applyFont="1" applyFill="1" applyBorder="1" applyAlignment="1">
      <alignment horizontal="right" vertical="center" wrapText="1"/>
    </xf>
    <xf numFmtId="3" fontId="7" fillId="0" borderId="8" xfId="0" applyNumberFormat="1" applyFont="1" applyBorder="1" applyAlignment="1">
      <alignment horizontal="right" vertical="center" wrapText="1"/>
    </xf>
    <xf numFmtId="0" fontId="6" fillId="0" borderId="8" xfId="0" applyFont="1" applyBorder="1" applyAlignment="1">
      <alignment horizontal="right" vertical="center" wrapText="1"/>
    </xf>
    <xf numFmtId="3" fontId="6" fillId="0" borderId="8" xfId="0" applyNumberFormat="1" applyFont="1" applyBorder="1" applyAlignment="1">
      <alignment horizontal="right" vertical="center" wrapText="1"/>
    </xf>
    <xf numFmtId="3" fontId="7" fillId="3" borderId="8" xfId="0" applyNumberFormat="1" applyFont="1" applyFill="1" applyBorder="1" applyAlignment="1">
      <alignment horizontal="right" vertical="center" wrapText="1"/>
    </xf>
    <xf numFmtId="3" fontId="6" fillId="3" borderId="8" xfId="0" applyNumberFormat="1" applyFont="1"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xf>
    <xf numFmtId="10" fontId="6" fillId="3" borderId="1" xfId="0" applyNumberFormat="1" applyFont="1" applyFill="1" applyBorder="1" applyAlignment="1">
      <alignment horizontal="right" vertical="center"/>
    </xf>
    <xf numFmtId="0" fontId="6" fillId="3" borderId="0" xfId="0" applyFont="1" applyFill="1"/>
    <xf numFmtId="9" fontId="7" fillId="3" borderId="1" xfId="0" applyNumberFormat="1" applyFont="1" applyFill="1" applyBorder="1" applyAlignment="1">
      <alignment horizontal="right" vertical="center" wrapText="1"/>
    </xf>
    <xf numFmtId="10" fontId="7" fillId="3" borderId="1" xfId="0" applyNumberFormat="1" applyFont="1" applyFill="1" applyBorder="1" applyAlignment="1">
      <alignment horizontal="right" vertical="center" wrapText="1"/>
    </xf>
    <xf numFmtId="9" fontId="6" fillId="3" borderId="1" xfId="0" applyNumberFormat="1" applyFont="1" applyFill="1" applyBorder="1" applyAlignment="1">
      <alignment horizontal="right" vertical="center" wrapText="1"/>
    </xf>
    <xf numFmtId="0" fontId="7" fillId="3" borderId="1" xfId="0" applyFont="1" applyFill="1" applyBorder="1" applyAlignment="1">
      <alignment vertical="center" wrapText="1"/>
    </xf>
    <xf numFmtId="3" fontId="2" fillId="3" borderId="1" xfId="0" applyNumberFormat="1" applyFont="1" applyFill="1" applyBorder="1" applyAlignment="1">
      <alignment horizontal="right" vertical="center" wrapText="1"/>
    </xf>
    <xf numFmtId="10"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6" fillId="0" borderId="0" xfId="0" applyFont="1"/>
    <xf numFmtId="0" fontId="3" fillId="3" borderId="1" xfId="0" applyFont="1" applyFill="1" applyBorder="1" applyAlignment="1">
      <alignment horizontal="right" vertical="center" wrapText="1"/>
    </xf>
    <xf numFmtId="0" fontId="0" fillId="3" borderId="1" xfId="0" applyFill="1" applyBorder="1"/>
    <xf numFmtId="0" fontId="9" fillId="3" borderId="0" xfId="0" applyFont="1" applyFill="1"/>
    <xf numFmtId="0" fontId="1" fillId="3" borderId="0" xfId="0" applyFont="1" applyFill="1"/>
    <xf numFmtId="10" fontId="0" fillId="3" borderId="1" xfId="0" applyNumberFormat="1" applyFill="1" applyBorder="1" applyAlignment="1">
      <alignment horizontal="right" vertical="center" wrapText="1"/>
    </xf>
    <xf numFmtId="10" fontId="0" fillId="3" borderId="1" xfId="0" applyNumberFormat="1" applyFill="1" applyBorder="1" applyAlignment="1">
      <alignment horizontal="right" vertical="center"/>
    </xf>
    <xf numFmtId="9" fontId="0" fillId="3" borderId="1" xfId="0" applyNumberFormat="1" applyFill="1" applyBorder="1" applyAlignment="1">
      <alignment horizontal="right" vertical="center" wrapText="1"/>
    </xf>
    <xf numFmtId="9" fontId="0" fillId="3" borderId="1" xfId="0" applyNumberFormat="1" applyFill="1" applyBorder="1" applyAlignment="1">
      <alignment horizontal="right" vertical="center"/>
    </xf>
    <xf numFmtId="10" fontId="1" fillId="3" borderId="1" xfId="0" applyNumberFormat="1" applyFont="1" applyFill="1" applyBorder="1" applyAlignment="1">
      <alignment horizontal="right" vertical="center" wrapText="1"/>
    </xf>
    <xf numFmtId="10" fontId="1" fillId="3" borderId="1" xfId="0" applyNumberFormat="1" applyFont="1" applyFill="1" applyBorder="1" applyAlignment="1">
      <alignment horizontal="right" vertical="center"/>
    </xf>
    <xf numFmtId="0" fontId="0" fillId="3" borderId="0" xfId="0" applyFill="1" applyAlignment="1">
      <alignment vertical="center"/>
    </xf>
    <xf numFmtId="0" fontId="7" fillId="3" borderId="1" xfId="0" applyFont="1" applyFill="1" applyBorder="1"/>
    <xf numFmtId="0" fontId="6" fillId="3" borderId="1" xfId="0" applyFont="1" applyFill="1" applyBorder="1" applyAlignment="1">
      <alignment horizontal="right" vertical="center" textRotation="180"/>
    </xf>
    <xf numFmtId="4" fontId="7" fillId="3" borderId="1" xfId="0" applyNumberFormat="1" applyFont="1" applyFill="1" applyBorder="1" applyAlignment="1">
      <alignment horizontal="right" vertical="center"/>
    </xf>
    <xf numFmtId="10" fontId="7" fillId="3" borderId="1" xfId="0" applyNumberFormat="1" applyFont="1" applyFill="1" applyBorder="1" applyAlignment="1">
      <alignment horizontal="right" vertical="center"/>
    </xf>
    <xf numFmtId="0" fontId="8" fillId="0" borderId="0" xfId="2" applyAlignment="1">
      <alignment vertical="center"/>
    </xf>
    <xf numFmtId="0" fontId="9" fillId="3" borderId="0" xfId="0" applyFont="1" applyFill="1" applyAlignment="1">
      <alignment horizontal="left" vertical="center"/>
    </xf>
    <xf numFmtId="17" fontId="6" fillId="3" borderId="1" xfId="0" quotePrefix="1" applyNumberFormat="1" applyFont="1" applyFill="1" applyBorder="1" applyAlignment="1">
      <alignment horizontal="righ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11" fillId="0" borderId="0" xfId="0" applyFont="1" applyAlignment="1">
      <alignment horizontal="left" vertical="center"/>
    </xf>
    <xf numFmtId="0" fontId="15" fillId="3" borderId="0" xfId="2" applyFont="1" applyFill="1" applyAlignment="1">
      <alignment vertical="center"/>
    </xf>
    <xf numFmtId="0" fontId="0" fillId="3" borderId="0" xfId="0" applyFill="1" applyAlignment="1">
      <alignment horizontal="right"/>
    </xf>
    <xf numFmtId="10" fontId="0" fillId="3" borderId="0" xfId="1" applyNumberFormat="1" applyFont="1" applyFill="1"/>
    <xf numFmtId="0" fontId="7" fillId="3" borderId="1" xfId="0" applyFont="1" applyFill="1" applyBorder="1" applyAlignment="1">
      <alignment horizontal="center" vertical="center"/>
    </xf>
    <xf numFmtId="4" fontId="0" fillId="3" borderId="0" xfId="0" applyNumberFormat="1" applyFill="1"/>
    <xf numFmtId="0" fontId="9" fillId="0" borderId="0" xfId="0" applyFont="1" applyAlignment="1">
      <alignment vertical="center"/>
    </xf>
    <xf numFmtId="16" fontId="6" fillId="3" borderId="1" xfId="0" quotePrefix="1" applyNumberFormat="1" applyFont="1" applyFill="1" applyBorder="1" applyAlignment="1">
      <alignment horizontal="right" vertical="center" wrapText="1"/>
    </xf>
    <xf numFmtId="0" fontId="6" fillId="3" borderId="0" xfId="0" applyFont="1" applyFill="1" applyAlignment="1">
      <alignment horizontal="left" vertical="center"/>
    </xf>
    <xf numFmtId="0" fontId="7" fillId="3" borderId="0" xfId="0" applyFont="1" applyFill="1" applyAlignment="1">
      <alignment horizontal="left" vertical="center" wrapText="1"/>
    </xf>
    <xf numFmtId="0" fontId="6" fillId="3" borderId="0" xfId="0" applyFont="1" applyFill="1" applyAlignment="1">
      <alignment horizontal="right" vertical="center" wrapText="1"/>
    </xf>
    <xf numFmtId="0" fontId="1" fillId="3" borderId="0" xfId="0" applyFont="1" applyFill="1" applyAlignment="1">
      <alignment horizontal="left"/>
    </xf>
    <xf numFmtId="1" fontId="6" fillId="3" borderId="1" xfId="0" applyNumberFormat="1" applyFont="1" applyFill="1" applyBorder="1" applyAlignment="1">
      <alignment horizontal="right" vertical="center"/>
    </xf>
    <xf numFmtId="3"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 fontId="7" fillId="3" borderId="1" xfId="0"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3" fontId="0" fillId="3" borderId="1" xfId="0" applyNumberFormat="1" applyFill="1" applyBorder="1" applyAlignment="1">
      <alignment horizontal="right" vertical="center" wrapText="1"/>
    </xf>
    <xf numFmtId="0" fontId="0" fillId="3" borderId="1" xfId="0" applyFill="1" applyBorder="1" applyAlignment="1">
      <alignment horizontal="right" vertical="center" wrapText="1"/>
    </xf>
    <xf numFmtId="3" fontId="1" fillId="3" borderId="1" xfId="0" applyNumberFormat="1" applyFont="1" applyFill="1" applyBorder="1" applyAlignment="1">
      <alignment horizontal="right" vertical="center" wrapText="1"/>
    </xf>
    <xf numFmtId="0" fontId="7" fillId="2" borderId="1" xfId="0" applyFont="1" applyFill="1" applyBorder="1"/>
    <xf numFmtId="0" fontId="5" fillId="0" borderId="0" xfId="0" applyFont="1" applyAlignment="1">
      <alignment vertical="center"/>
    </xf>
    <xf numFmtId="49" fontId="6" fillId="2" borderId="1" xfId="0" applyNumberFormat="1" applyFont="1" applyFill="1" applyBorder="1" applyAlignment="1">
      <alignment horizontal="right" vertical="center"/>
    </xf>
    <xf numFmtId="49" fontId="6" fillId="2" borderId="1" xfId="0" applyNumberFormat="1" applyFont="1" applyFill="1" applyBorder="1" applyAlignment="1">
      <alignment horizontal="right" vertical="center" wrapText="1"/>
    </xf>
    <xf numFmtId="49" fontId="6" fillId="3" borderId="1" xfId="0" quotePrefix="1" applyNumberFormat="1" applyFont="1" applyFill="1" applyBorder="1" applyAlignment="1">
      <alignment horizontal="right" vertical="center" wrapText="1"/>
    </xf>
    <xf numFmtId="0" fontId="3" fillId="3" borderId="0" xfId="0" applyFont="1" applyFill="1" applyAlignment="1">
      <alignment vertical="center" wrapText="1"/>
    </xf>
    <xf numFmtId="3" fontId="3" fillId="3" borderId="0" xfId="0" applyNumberFormat="1" applyFont="1" applyFill="1" applyAlignment="1">
      <alignment horizontal="right" vertical="center" wrapText="1"/>
    </xf>
    <xf numFmtId="10" fontId="3" fillId="3" borderId="0" xfId="0" applyNumberFormat="1" applyFont="1" applyFill="1" applyAlignment="1">
      <alignment horizontal="right" vertical="center" wrapText="1"/>
    </xf>
    <xf numFmtId="0" fontId="16" fillId="3" borderId="0" xfId="0" applyFont="1" applyFill="1"/>
    <xf numFmtId="10" fontId="6" fillId="3" borderId="0" xfId="0" applyNumberFormat="1" applyFont="1" applyFill="1" applyAlignment="1">
      <alignment horizontal="right" vertical="center" wrapText="1"/>
    </xf>
    <xf numFmtId="0" fontId="16" fillId="0" borderId="0" xfId="0" applyFont="1"/>
    <xf numFmtId="0" fontId="7" fillId="3" borderId="0" xfId="0" applyFont="1" applyFill="1" applyAlignment="1">
      <alignment horizontal="center" vertical="center"/>
    </xf>
    <xf numFmtId="10" fontId="6" fillId="3" borderId="0" xfId="0" applyNumberFormat="1" applyFont="1" applyFill="1" applyAlignment="1">
      <alignment horizontal="right" vertical="center"/>
    </xf>
    <xf numFmtId="0" fontId="7" fillId="3" borderId="0" xfId="0" applyFont="1" applyFill="1" applyAlignment="1">
      <alignment horizontal="right" vertical="center"/>
    </xf>
    <xf numFmtId="0" fontId="17" fillId="3" borderId="0" xfId="0" applyFont="1" applyFill="1"/>
    <xf numFmtId="0" fontId="1" fillId="3" borderId="1" xfId="0" applyFont="1" applyFill="1" applyBorder="1" applyAlignment="1">
      <alignment horizontal="center" vertical="center"/>
    </xf>
    <xf numFmtId="0" fontId="0" fillId="3" borderId="1" xfId="0" applyFill="1" applyBorder="1" applyAlignment="1">
      <alignment vertical="center"/>
    </xf>
    <xf numFmtId="0" fontId="1" fillId="3" borderId="1" xfId="0" applyFont="1" applyFill="1" applyBorder="1" applyAlignment="1">
      <alignment vertical="center"/>
    </xf>
    <xf numFmtId="49" fontId="5" fillId="0" borderId="0" xfId="0" applyNumberFormat="1" applyFont="1" applyAlignment="1">
      <alignment vertical="center"/>
    </xf>
    <xf numFmtId="0" fontId="6" fillId="2"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4" fontId="7" fillId="0" borderId="8" xfId="0" applyNumberFormat="1" applyFont="1" applyBorder="1" applyAlignment="1">
      <alignment horizontal="right" vertical="center" wrapText="1"/>
    </xf>
    <xf numFmtId="4" fontId="18" fillId="0" borderId="8" xfId="0" applyNumberFormat="1" applyFont="1" applyBorder="1"/>
    <xf numFmtId="4" fontId="7" fillId="0" borderId="9"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0" fontId="7" fillId="0" borderId="3" xfId="0" applyFont="1" applyBorder="1" applyAlignment="1">
      <alignment horizontal="right" vertical="center" wrapText="1"/>
    </xf>
    <xf numFmtId="3" fontId="7" fillId="0" borderId="1" xfId="0" applyNumberFormat="1" applyFont="1" applyBorder="1"/>
    <xf numFmtId="3" fontId="7" fillId="3" borderId="11" xfId="0" applyNumberFormat="1" applyFont="1" applyFill="1" applyBorder="1" applyAlignment="1">
      <alignment horizontal="right" vertical="center" wrapText="1"/>
    </xf>
    <xf numFmtId="3" fontId="0" fillId="0" borderId="1" xfId="0" applyNumberFormat="1" applyBorder="1"/>
    <xf numFmtId="3" fontId="0" fillId="0" borderId="0" xfId="0" applyNumberFormat="1"/>
    <xf numFmtId="3" fontId="0" fillId="3" borderId="1" xfId="0" applyNumberFormat="1" applyFill="1" applyBorder="1"/>
    <xf numFmtId="0" fontId="21" fillId="3" borderId="0" xfId="0" applyFont="1" applyFill="1"/>
    <xf numFmtId="0" fontId="22" fillId="3" borderId="8" xfId="0" applyFont="1" applyFill="1" applyBorder="1" applyAlignment="1">
      <alignment vertical="center" wrapText="1"/>
    </xf>
    <xf numFmtId="3" fontId="18" fillId="0" borderId="19" xfId="0" applyNumberFormat="1" applyFont="1" applyBorder="1"/>
    <xf numFmtId="3" fontId="18" fillId="0" borderId="16" xfId="0" applyNumberFormat="1" applyFont="1" applyBorder="1"/>
    <xf numFmtId="3" fontId="18" fillId="0" borderId="16" xfId="0" applyNumberFormat="1" applyFont="1" applyBorder="1" applyAlignment="1">
      <alignment wrapText="1"/>
    </xf>
    <xf numFmtId="10" fontId="18" fillId="0" borderId="19" xfId="0" applyNumberFormat="1" applyFont="1" applyBorder="1"/>
    <xf numFmtId="10" fontId="18" fillId="0" borderId="16" xfId="0" applyNumberFormat="1" applyFont="1" applyBorder="1"/>
    <xf numFmtId="10" fontId="18" fillId="0" borderId="16" xfId="0" applyNumberFormat="1" applyFont="1" applyBorder="1" applyAlignment="1">
      <alignment wrapText="1"/>
    </xf>
    <xf numFmtId="10" fontId="18" fillId="0" borderId="1" xfId="0" applyNumberFormat="1" applyFont="1" applyBorder="1"/>
    <xf numFmtId="10" fontId="18" fillId="0" borderId="11" xfId="0" applyNumberFormat="1" applyFont="1" applyBorder="1"/>
    <xf numFmtId="0" fontId="18" fillId="0" borderId="3" xfId="0" applyFont="1" applyBorder="1"/>
    <xf numFmtId="10" fontId="18" fillId="0" borderId="3" xfId="0" applyNumberFormat="1" applyFont="1" applyBorder="1"/>
    <xf numFmtId="10" fontId="18" fillId="0" borderId="7" xfId="0" applyNumberFormat="1" applyFont="1" applyBorder="1"/>
    <xf numFmtId="9" fontId="18" fillId="0" borderId="3" xfId="0" applyNumberFormat="1" applyFont="1" applyBorder="1"/>
    <xf numFmtId="0" fontId="7" fillId="3" borderId="9" xfId="0" applyFont="1" applyFill="1" applyBorder="1" applyAlignment="1">
      <alignment horizontal="right" vertical="center" wrapText="1"/>
    </xf>
    <xf numFmtId="0" fontId="6" fillId="3" borderId="9" xfId="0" applyFont="1" applyFill="1" applyBorder="1" applyAlignment="1">
      <alignment horizontal="right" vertical="center" wrapText="1"/>
    </xf>
    <xf numFmtId="3" fontId="3" fillId="3" borderId="1" xfId="0" applyNumberFormat="1" applyFont="1" applyFill="1" applyBorder="1" applyAlignment="1">
      <alignment horizontal="right" vertical="center"/>
    </xf>
    <xf numFmtId="4" fontId="3" fillId="3" borderId="1" xfId="0" applyNumberFormat="1" applyFont="1" applyFill="1" applyBorder="1" applyAlignment="1">
      <alignment horizontal="right" vertical="center"/>
    </xf>
    <xf numFmtId="1" fontId="3" fillId="3" borderId="1" xfId="0" applyNumberFormat="1" applyFont="1" applyFill="1" applyBorder="1" applyAlignment="1">
      <alignment horizontal="right" vertical="center"/>
    </xf>
    <xf numFmtId="3" fontId="7" fillId="3" borderId="0" xfId="0" applyNumberFormat="1" applyFont="1" applyFill="1"/>
    <xf numFmtId="3" fontId="18" fillId="0" borderId="9" xfId="0" applyNumberFormat="1" applyFont="1" applyBorder="1"/>
    <xf numFmtId="0" fontId="2" fillId="0" borderId="1" xfId="0" applyFont="1" applyBorder="1" applyAlignment="1">
      <alignment horizontal="center"/>
    </xf>
    <xf numFmtId="0" fontId="2" fillId="0" borderId="16" xfId="0" applyFont="1" applyBorder="1" applyAlignment="1">
      <alignment horizontal="right" vertical="center"/>
    </xf>
    <xf numFmtId="0" fontId="3" fillId="0" borderId="16" xfId="0" applyFont="1" applyBorder="1" applyAlignment="1">
      <alignment horizontal="right" vertical="center"/>
    </xf>
    <xf numFmtId="3" fontId="2" fillId="0" borderId="16"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9" xfId="0" applyNumberFormat="1" applyFont="1" applyBorder="1" applyAlignment="1">
      <alignment horizontal="right" vertical="center"/>
    </xf>
    <xf numFmtId="10" fontId="23" fillId="2" borderId="16" xfId="0" applyNumberFormat="1" applyFont="1" applyFill="1" applyBorder="1" applyAlignment="1">
      <alignment horizontal="right" vertical="center" wrapText="1"/>
    </xf>
    <xf numFmtId="0" fontId="23" fillId="2" borderId="16" xfId="0" applyFont="1" applyFill="1" applyBorder="1" applyAlignment="1">
      <alignment horizontal="right" vertical="center" wrapText="1"/>
    </xf>
    <xf numFmtId="0" fontId="23" fillId="2" borderId="16" xfId="0" applyFont="1" applyFill="1" applyBorder="1" applyAlignment="1">
      <alignment horizontal="right" vertical="center"/>
    </xf>
    <xf numFmtId="0" fontId="0" fillId="0" borderId="16" xfId="0" applyBorder="1"/>
    <xf numFmtId="3" fontId="23" fillId="2" borderId="16" xfId="0" applyNumberFormat="1" applyFont="1" applyFill="1" applyBorder="1" applyAlignment="1">
      <alignment horizontal="right" vertical="center" wrapText="1"/>
    </xf>
    <xf numFmtId="3" fontId="18" fillId="0" borderId="1" xfId="0" applyNumberFormat="1" applyFont="1" applyBorder="1"/>
    <xf numFmtId="3" fontId="18" fillId="0" borderId="3" xfId="0" applyNumberFormat="1" applyFont="1" applyBorder="1"/>
    <xf numFmtId="3" fontId="7" fillId="3" borderId="9" xfId="0" applyNumberFormat="1" applyFont="1" applyFill="1" applyBorder="1" applyAlignment="1">
      <alignment horizontal="right" vertical="center" wrapText="1"/>
    </xf>
    <xf numFmtId="164" fontId="25" fillId="3" borderId="1" xfId="3" applyNumberFormat="1" applyFont="1" applyFill="1" applyBorder="1"/>
    <xf numFmtId="164" fontId="26" fillId="3" borderId="1" xfId="3" applyNumberFormat="1" applyFont="1" applyFill="1" applyBorder="1"/>
    <xf numFmtId="10" fontId="0" fillId="0" borderId="1" xfId="1" applyNumberFormat="1" applyFont="1" applyBorder="1"/>
    <xf numFmtId="10" fontId="1" fillId="0" borderId="1" xfId="1" applyNumberFormat="1" applyFont="1" applyBorder="1"/>
    <xf numFmtId="165" fontId="25" fillId="3" borderId="1" xfId="3" applyNumberFormat="1" applyFont="1" applyFill="1" applyBorder="1"/>
    <xf numFmtId="165" fontId="26" fillId="3" borderId="1" xfId="3" applyNumberFormat="1" applyFont="1" applyFill="1" applyBorder="1"/>
    <xf numFmtId="49" fontId="7" fillId="2" borderId="1" xfId="0" applyNumberFormat="1" applyFont="1" applyFill="1" applyBorder="1" applyAlignment="1">
      <alignment horizontal="right" vertical="center"/>
    </xf>
    <xf numFmtId="1" fontId="27" fillId="0" borderId="1" xfId="0" applyNumberFormat="1" applyFont="1" applyBorder="1" applyAlignment="1">
      <alignment horizontal="right" vertical="top"/>
    </xf>
    <xf numFmtId="1" fontId="0" fillId="3" borderId="1" xfId="4" applyNumberFormat="1" applyFont="1" applyFill="1" applyBorder="1" applyAlignment="1">
      <alignment horizontal="right" vertical="top"/>
    </xf>
    <xf numFmtId="1" fontId="28" fillId="0" borderId="1" xfId="0" applyNumberFormat="1" applyFont="1" applyBorder="1" applyAlignment="1">
      <alignment horizontal="right" vertical="top"/>
    </xf>
    <xf numFmtId="166" fontId="27" fillId="0" borderId="1" xfId="0" applyNumberFormat="1" applyFont="1" applyBorder="1" applyAlignment="1">
      <alignment horizontal="right" vertical="top"/>
    </xf>
    <xf numFmtId="9" fontId="27" fillId="0" borderId="1" xfId="0" applyNumberFormat="1" applyFont="1" applyBorder="1" applyAlignment="1">
      <alignment horizontal="right" vertical="top"/>
    </xf>
    <xf numFmtId="9" fontId="28" fillId="0" borderId="1" xfId="0" applyNumberFormat="1" applyFont="1" applyBorder="1" applyAlignment="1">
      <alignment horizontal="right" vertical="top"/>
    </xf>
    <xf numFmtId="0" fontId="6" fillId="3" borderId="1" xfId="0" applyFont="1" applyFill="1" applyBorder="1" applyAlignment="1">
      <alignment vertical="top" wrapText="1"/>
    </xf>
    <xf numFmtId="167" fontId="0" fillId="0" borderId="1" xfId="0" applyNumberFormat="1" applyBorder="1"/>
    <xf numFmtId="167" fontId="1" fillId="0" borderId="1" xfId="0" applyNumberFormat="1" applyFont="1" applyBorder="1"/>
    <xf numFmtId="0" fontId="0" fillId="0" borderId="1" xfId="0" applyBorder="1"/>
    <xf numFmtId="0" fontId="1" fillId="0" borderId="1" xfId="0" applyFont="1" applyBorder="1"/>
    <xf numFmtId="10" fontId="0" fillId="0" borderId="1" xfId="0" applyNumberFormat="1" applyBorder="1"/>
    <xf numFmtId="10" fontId="1" fillId="0" borderId="1" xfId="0" applyNumberFormat="1" applyFont="1" applyBorder="1"/>
    <xf numFmtId="0" fontId="0" fillId="0" borderId="0" xfId="0" applyAlignment="1">
      <alignment wrapText="1"/>
    </xf>
    <xf numFmtId="0" fontId="6" fillId="0" borderId="0" xfId="0" applyFont="1" applyAlignment="1">
      <alignment horizontal="right" vertical="center" wrapText="1"/>
    </xf>
    <xf numFmtId="3" fontId="6" fillId="0" borderId="0" xfId="0" applyNumberFormat="1" applyFont="1" applyAlignment="1">
      <alignment horizontal="right" vertical="center" wrapText="1"/>
    </xf>
    <xf numFmtId="0" fontId="29" fillId="0" borderId="0" xfId="0" applyFont="1" applyAlignment="1">
      <alignment vertical="center"/>
    </xf>
    <xf numFmtId="0" fontId="22" fillId="0" borderId="0" xfId="0" applyFont="1" applyAlignment="1">
      <alignment vertical="center"/>
    </xf>
    <xf numFmtId="0" fontId="31" fillId="0" borderId="0" xfId="0" applyFont="1"/>
    <xf numFmtId="0" fontId="8" fillId="0" borderId="0" xfId="2"/>
    <xf numFmtId="0" fontId="8" fillId="3" borderId="0" xfId="2" applyFill="1"/>
    <xf numFmtId="0" fontId="33" fillId="0" borderId="0" xfId="0" applyFont="1"/>
    <xf numFmtId="165" fontId="26" fillId="3" borderId="0" xfId="3" applyNumberFormat="1" applyFont="1" applyFill="1" applyBorder="1"/>
    <xf numFmtId="3" fontId="18" fillId="0" borderId="10" xfId="0" applyNumberFormat="1" applyFont="1" applyBorder="1"/>
    <xf numFmtId="4" fontId="19" fillId="0" borderId="1" xfId="0" applyNumberFormat="1" applyFont="1" applyBorder="1" applyAlignment="1">
      <alignment wrapText="1"/>
    </xf>
    <xf numFmtId="10" fontId="19" fillId="0" borderId="1" xfId="0" applyNumberFormat="1" applyFont="1" applyBorder="1" applyAlignment="1">
      <alignment wrapText="1"/>
    </xf>
    <xf numFmtId="4" fontId="20" fillId="0" borderId="1" xfId="0" applyNumberFormat="1" applyFont="1" applyBorder="1" applyAlignment="1">
      <alignment wrapText="1"/>
    </xf>
    <xf numFmtId="3" fontId="2" fillId="0" borderId="1" xfId="0" applyNumberFormat="1" applyFont="1" applyBorder="1" applyAlignment="1">
      <alignment horizontal="right" vertical="center"/>
    </xf>
    <xf numFmtId="10" fontId="2"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10" fontId="3" fillId="0" borderId="1" xfId="0" applyNumberFormat="1" applyFont="1" applyBorder="1" applyAlignment="1">
      <alignment horizontal="right" vertical="center"/>
    </xf>
    <xf numFmtId="3" fontId="7" fillId="3" borderId="9" xfId="0" applyNumberFormat="1" applyFont="1" applyFill="1" applyBorder="1" applyAlignment="1">
      <alignment horizontal="right" vertical="center"/>
    </xf>
    <xf numFmtId="0" fontId="7" fillId="3" borderId="9" xfId="0" applyFont="1" applyFill="1" applyBorder="1" applyAlignment="1">
      <alignment horizontal="right" vertical="center"/>
    </xf>
    <xf numFmtId="3" fontId="6" fillId="3" borderId="9" xfId="0" applyNumberFormat="1" applyFont="1" applyFill="1" applyBorder="1" applyAlignment="1">
      <alignment horizontal="right" vertical="center"/>
    </xf>
    <xf numFmtId="0" fontId="2" fillId="0" borderId="1" xfId="0" applyFont="1" applyBorder="1" applyAlignment="1">
      <alignment horizontal="right" vertical="center"/>
    </xf>
    <xf numFmtId="10" fontId="34" fillId="2" borderId="1" xfId="0" applyNumberFormat="1" applyFont="1" applyFill="1" applyBorder="1" applyAlignment="1">
      <alignment horizontal="right" vertical="center" wrapText="1"/>
    </xf>
    <xf numFmtId="3" fontId="18" fillId="0" borderId="7" xfId="0" applyNumberFormat="1" applyFont="1" applyBorder="1"/>
    <xf numFmtId="3" fontId="6" fillId="3" borderId="9" xfId="0" applyNumberFormat="1" applyFont="1" applyFill="1" applyBorder="1" applyAlignment="1">
      <alignment horizontal="right" vertical="center" wrapText="1"/>
    </xf>
    <xf numFmtId="0" fontId="18" fillId="0" borderId="1" xfId="0" applyFont="1" applyBorder="1"/>
    <xf numFmtId="0" fontId="2" fillId="2" borderId="1" xfId="0"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0" fontId="6" fillId="3" borderId="12" xfId="0" applyFont="1" applyFill="1" applyBorder="1" applyAlignment="1">
      <alignment horizontal="right" vertical="center" wrapText="1"/>
    </xf>
    <xf numFmtId="0" fontId="18" fillId="0" borderId="20" xfId="0" applyFont="1" applyBorder="1"/>
    <xf numFmtId="0" fontId="3" fillId="3" borderId="2" xfId="0" applyFont="1" applyFill="1" applyBorder="1" applyAlignment="1">
      <alignment horizontal="center" vertical="center" wrapText="1"/>
    </xf>
    <xf numFmtId="0" fontId="35" fillId="0" borderId="1" xfId="0" applyFont="1" applyBorder="1"/>
    <xf numFmtId="0" fontId="22" fillId="4" borderId="17" xfId="0" applyFont="1" applyFill="1" applyBorder="1"/>
    <xf numFmtId="0" fontId="22" fillId="4" borderId="18" xfId="0" applyFont="1" applyFill="1" applyBorder="1"/>
    <xf numFmtId="0" fontId="22" fillId="4" borderId="18" xfId="0" applyFont="1" applyFill="1" applyBorder="1" applyAlignment="1">
      <alignment wrapText="1"/>
    </xf>
    <xf numFmtId="10" fontId="22" fillId="0" borderId="3" xfId="0" applyNumberFormat="1" applyFont="1" applyBorder="1"/>
    <xf numFmtId="10" fontId="22" fillId="0" borderId="7" xfId="0" applyNumberFormat="1" applyFont="1" applyBorder="1"/>
    <xf numFmtId="3" fontId="22" fillId="0" borderId="3" xfId="0" applyNumberFormat="1" applyFont="1" applyBorder="1"/>
    <xf numFmtId="3" fontId="22" fillId="0" borderId="7" xfId="0" applyNumberFormat="1" applyFont="1" applyBorder="1"/>
    <xf numFmtId="10" fontId="22" fillId="0" borderId="11" xfId="0" applyNumberFormat="1" applyFont="1" applyBorder="1"/>
    <xf numFmtId="3" fontId="22" fillId="0" borderId="1" xfId="0" applyNumberFormat="1" applyFont="1" applyBorder="1"/>
    <xf numFmtId="0" fontId="18" fillId="0" borderId="1" xfId="0" applyFont="1" applyBorder="1" applyAlignment="1">
      <alignment wrapText="1"/>
    </xf>
    <xf numFmtId="0" fontId="18" fillId="0" borderId="3" xfId="0" applyFont="1" applyBorder="1" applyAlignment="1">
      <alignment wrapText="1"/>
    </xf>
    <xf numFmtId="3" fontId="18" fillId="0" borderId="3" xfId="0" applyNumberFormat="1" applyFont="1" applyBorder="1" applyAlignment="1">
      <alignment wrapText="1"/>
    </xf>
    <xf numFmtId="0" fontId="22" fillId="0" borderId="3" xfId="0" applyFont="1" applyBorder="1"/>
    <xf numFmtId="0" fontId="29" fillId="0" borderId="0" xfId="0" applyFont="1"/>
    <xf numFmtId="0" fontId="18" fillId="0" borderId="7" xfId="0" applyFont="1" applyBorder="1"/>
    <xf numFmtId="4" fontId="22" fillId="0" borderId="7" xfId="0" applyNumberFormat="1" applyFont="1" applyBorder="1"/>
    <xf numFmtId="0" fontId="22" fillId="0" borderId="20" xfId="0" applyFont="1" applyBorder="1"/>
    <xf numFmtId="0" fontId="22" fillId="0" borderId="1" xfId="0" applyFont="1" applyBorder="1"/>
    <xf numFmtId="168" fontId="7" fillId="0" borderId="1" xfId="0" applyNumberFormat="1" applyFont="1" applyBorder="1"/>
    <xf numFmtId="3" fontId="1" fillId="0" borderId="1" xfId="0" applyNumberFormat="1" applyFont="1" applyBorder="1"/>
    <xf numFmtId="0" fontId="0" fillId="0" borderId="17" xfId="0" applyBorder="1" applyAlignment="1">
      <alignment vertical="center" wrapText="1"/>
    </xf>
    <xf numFmtId="0" fontId="0" fillId="0" borderId="19" xfId="0" applyBorder="1" applyAlignment="1">
      <alignment vertical="center" wrapText="1"/>
    </xf>
    <xf numFmtId="166" fontId="28" fillId="0" borderId="1" xfId="0" applyNumberFormat="1" applyFont="1" applyBorder="1" applyAlignment="1">
      <alignment horizontal="right" vertical="top"/>
    </xf>
    <xf numFmtId="4" fontId="36" fillId="0" borderId="8" xfId="0" applyNumberFormat="1" applyFont="1" applyBorder="1"/>
    <xf numFmtId="9" fontId="7" fillId="3" borderId="1" xfId="0" applyNumberFormat="1" applyFont="1" applyFill="1" applyBorder="1" applyAlignment="1">
      <alignment horizontal="right" vertical="center"/>
    </xf>
    <xf numFmtId="9" fontId="7" fillId="0" borderId="1" xfId="0" applyNumberFormat="1" applyFont="1" applyBorder="1" applyAlignment="1">
      <alignment horizontal="right" vertical="center"/>
    </xf>
    <xf numFmtId="0" fontId="38" fillId="0" borderId="1" xfId="5" applyFont="1" applyBorder="1" applyAlignment="1">
      <alignment horizontal="right" wrapText="1"/>
    </xf>
    <xf numFmtId="3" fontId="38" fillId="0" borderId="1" xfId="5" applyNumberFormat="1" applyFont="1" applyBorder="1" applyAlignment="1">
      <alignment horizontal="right" wrapText="1"/>
    </xf>
    <xf numFmtId="0" fontId="38" fillId="0" borderId="21" xfId="5" applyFont="1" applyBorder="1" applyAlignment="1">
      <alignment horizontal="right" wrapText="1"/>
    </xf>
    <xf numFmtId="3" fontId="0" fillId="0" borderId="1" xfId="0" applyNumberFormat="1" applyBorder="1" applyAlignment="1">
      <alignment vertical="center"/>
    </xf>
    <xf numFmtId="0" fontId="6" fillId="3" borderId="1" xfId="0" applyFont="1" applyFill="1" applyBorder="1" applyAlignment="1">
      <alignment horizontal="center" vertical="center" wrapText="1"/>
    </xf>
    <xf numFmtId="2" fontId="18" fillId="0" borderId="7" xfId="0" applyNumberFormat="1" applyFont="1" applyBorder="1"/>
    <xf numFmtId="4" fontId="18" fillId="0" borderId="7" xfId="0" applyNumberFormat="1" applyFont="1" applyBorder="1"/>
    <xf numFmtId="9" fontId="22" fillId="0" borderId="7" xfId="0" applyNumberFormat="1" applyFont="1" applyBorder="1"/>
    <xf numFmtId="0" fontId="0" fillId="0" borderId="2" xfId="0" applyBorder="1"/>
    <xf numFmtId="0" fontId="2" fillId="0" borderId="22" xfId="0" applyFont="1" applyBorder="1" applyAlignment="1">
      <alignment horizontal="right" vertical="center"/>
    </xf>
    <xf numFmtId="0" fontId="3" fillId="0" borderId="1" xfId="0" applyFont="1" applyBorder="1" applyAlignment="1">
      <alignment horizontal="right" vertical="center"/>
    </xf>
    <xf numFmtId="10" fontId="11"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2" fontId="7" fillId="3" borderId="1" xfId="0" applyNumberFormat="1" applyFont="1" applyFill="1" applyBorder="1" applyAlignment="1">
      <alignment horizontal="right" vertical="center" wrapText="1"/>
    </xf>
    <xf numFmtId="2" fontId="6" fillId="3" borderId="1" xfId="0" applyNumberFormat="1" applyFont="1" applyFill="1" applyBorder="1" applyAlignment="1">
      <alignment horizontal="right" vertical="center" wrapText="1"/>
    </xf>
    <xf numFmtId="9" fontId="0" fillId="3" borderId="1" xfId="1" applyFont="1" applyFill="1" applyBorder="1"/>
    <xf numFmtId="9" fontId="1" fillId="3" borderId="1" xfId="1" applyFont="1" applyFill="1" applyBorder="1"/>
    <xf numFmtId="9" fontId="7" fillId="3" borderId="0" xfId="0" applyNumberFormat="1" applyFont="1" applyFill="1"/>
    <xf numFmtId="0" fontId="22" fillId="0" borderId="1" xfId="0" applyFont="1" applyBorder="1" applyAlignment="1">
      <alignment wrapText="1"/>
    </xf>
    <xf numFmtId="0" fontId="6" fillId="3" borderId="1" xfId="0" applyFont="1" applyFill="1" applyBorder="1" applyAlignment="1">
      <alignment vertical="center" wrapTex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16" fontId="6" fillId="3" borderId="12" xfId="0" quotePrefix="1" applyNumberFormat="1" applyFont="1" applyFill="1" applyBorder="1" applyAlignment="1">
      <alignment horizontal="left" vertical="center" wrapText="1"/>
    </xf>
    <xf numFmtId="16" fontId="6" fillId="3" borderId="13" xfId="0" quotePrefix="1"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3" borderId="1" xfId="0" applyFill="1" applyBorder="1" applyAlignment="1">
      <alignment vertical="center" wrapText="1"/>
    </xf>
    <xf numFmtId="0" fontId="1" fillId="3" borderId="1" xfId="0" applyFont="1" applyFill="1" applyBorder="1" applyAlignment="1">
      <alignment vertical="center" wrapText="1"/>
    </xf>
    <xf numFmtId="0" fontId="6" fillId="0" borderId="1" xfId="0" applyFont="1" applyBorder="1" applyAlignment="1">
      <alignment vertical="center" wrapText="1"/>
    </xf>
    <xf numFmtId="0" fontId="6" fillId="3" borderId="2" xfId="0" applyFont="1" applyFill="1" applyBorder="1" applyAlignment="1">
      <alignment horizontal="right" vertical="center" wrapText="1"/>
    </xf>
    <xf numFmtId="0" fontId="0" fillId="0" borderId="3" xfId="0" applyBorder="1" applyAlignment="1">
      <alignment horizontal="right" vertical="center" wrapText="1"/>
    </xf>
    <xf numFmtId="0" fontId="6" fillId="3" borderId="3" xfId="0" applyFont="1" applyFill="1" applyBorder="1" applyAlignment="1">
      <alignment horizontal="right" vertical="center" wrapText="1"/>
    </xf>
    <xf numFmtId="0" fontId="0" fillId="3" borderId="0" xfId="0" applyFill="1" applyAlignment="1">
      <alignment wrapText="1"/>
    </xf>
    <xf numFmtId="0" fontId="0" fillId="0" borderId="0" xfId="0" applyAlignment="1">
      <alignment wrapText="1"/>
    </xf>
    <xf numFmtId="0" fontId="0" fillId="3" borderId="0" xfId="0" applyFill="1" applyAlignment="1"/>
    <xf numFmtId="0" fontId="0" fillId="0" borderId="0" xfId="0" applyAlignment="1"/>
    <xf numFmtId="0" fontId="7" fillId="3" borderId="1" xfId="0" applyFont="1" applyFill="1" applyBorder="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right"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7" xfId="0" applyFont="1" applyFill="1" applyBorder="1" applyAlignment="1">
      <alignment horizontal="center" vertical="center"/>
    </xf>
    <xf numFmtId="10" fontId="6" fillId="3" borderId="2" xfId="1" applyNumberFormat="1" applyFont="1" applyFill="1" applyBorder="1" applyAlignment="1">
      <alignment horizontal="center" vertical="center"/>
    </xf>
    <xf numFmtId="10" fontId="6" fillId="3" borderId="3" xfId="1" applyNumberFormat="1" applyFont="1" applyFill="1" applyBorder="1" applyAlignment="1">
      <alignment horizontal="center" vertical="center"/>
    </xf>
    <xf numFmtId="10" fontId="3" fillId="3" borderId="2" xfId="1" applyNumberFormat="1" applyFont="1" applyFill="1" applyBorder="1" applyAlignment="1">
      <alignment horizontal="center" vertical="center"/>
    </xf>
    <xf numFmtId="10" fontId="3" fillId="3" borderId="3" xfId="1"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right" vertical="center"/>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2" xfId="0" applyFont="1" applyFill="1" applyBorder="1" applyAlignment="1">
      <alignment horizontal="left" vertical="top"/>
    </xf>
    <xf numFmtId="0" fontId="6" fillId="3" borderId="4" xfId="0" applyFont="1" applyFill="1" applyBorder="1" applyAlignment="1">
      <alignment horizontal="left" vertical="top"/>
    </xf>
    <xf numFmtId="0" fontId="6" fillId="3" borderId="3" xfId="0" applyFont="1" applyFill="1" applyBorder="1" applyAlignment="1">
      <alignment horizontal="left" vertical="top"/>
    </xf>
  </cellXfs>
  <cellStyles count="6">
    <cellStyle name="Goed" xfId="4" builtinId="26"/>
    <cellStyle name="Hyperlink" xfId="2" builtinId="8"/>
    <cellStyle name="Komma" xfId="3" builtinId="3"/>
    <cellStyle name="Procent" xfId="1" builtinId="5"/>
    <cellStyle name="Standaard" xfId="0" builtinId="0"/>
    <cellStyle name="Standaard_2021-2022" xfId="5" xr:uid="{FE010884-0B45-4698-8FA3-3F96A1A992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Van Reet Patricia" id="{D2A4282B-765E-452F-A2D1-404230CA2215}" userId="S::patricia.vanreet@ond.vlaanderen.be::ed031c38-a874-41ca-8f75-67dc4f5c38db"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2-08-08T15:51:20.89" personId="{D2A4282B-765E-452F-A2D1-404230CA2215}" id="{5BCE141A-D95A-44DF-A1AE-2DC26D9E5C1D}">
    <text>Ik zou het luik bonus niet meer opnemen.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 Id="rId4" Type="http://schemas.microsoft.com/office/2017/10/relationships/threadedComment" Target="../threadedComments/threadedComment1.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798C8-A746-4301-9713-5924207915E8}">
  <dimension ref="A1:D24"/>
  <sheetViews>
    <sheetView workbookViewId="0">
      <selection activeCell="A8" sqref="A8"/>
    </sheetView>
  </sheetViews>
  <sheetFormatPr defaultRowHeight="14.4"/>
  <cols>
    <col min="1" max="1" width="9.5546875" customWidth="1"/>
    <col min="2" max="2" width="92.33203125" customWidth="1"/>
    <col min="3" max="3" width="10.44140625" bestFit="1" customWidth="1"/>
    <col min="4" max="4" width="91.33203125" bestFit="1" customWidth="1"/>
  </cols>
  <sheetData>
    <row r="1" spans="1:4" ht="15.6">
      <c r="A1" s="224" t="s">
        <v>0</v>
      </c>
    </row>
    <row r="2" spans="1:4">
      <c r="A2" s="225" t="s">
        <v>1</v>
      </c>
      <c r="B2" t="s">
        <v>2</v>
      </c>
      <c r="C2" s="225" t="s">
        <v>3</v>
      </c>
      <c r="D2" t="s">
        <v>4</v>
      </c>
    </row>
    <row r="3" spans="1:4" ht="28.8">
      <c r="A3" s="225" t="s">
        <v>5</v>
      </c>
      <c r="B3" s="219" t="s">
        <v>6</v>
      </c>
      <c r="C3" s="225" t="s">
        <v>7</v>
      </c>
      <c r="D3" t="s">
        <v>8</v>
      </c>
    </row>
    <row r="4" spans="1:4">
      <c r="A4" s="225" t="s">
        <v>9</v>
      </c>
      <c r="B4" t="s">
        <v>10</v>
      </c>
      <c r="C4" s="225" t="s">
        <v>11</v>
      </c>
      <c r="D4" t="s">
        <v>12</v>
      </c>
    </row>
    <row r="5" spans="1:4">
      <c r="A5" s="225" t="s">
        <v>13</v>
      </c>
      <c r="B5" t="s">
        <v>14</v>
      </c>
      <c r="C5" s="225" t="s">
        <v>15</v>
      </c>
      <c r="D5" t="s">
        <v>16</v>
      </c>
    </row>
    <row r="6" spans="1:4">
      <c r="A6" s="225" t="s">
        <v>17</v>
      </c>
      <c r="B6" t="s">
        <v>18</v>
      </c>
      <c r="C6" s="225" t="s">
        <v>19</v>
      </c>
      <c r="D6" t="s">
        <v>20</v>
      </c>
    </row>
    <row r="7" spans="1:4">
      <c r="A7" s="225" t="s">
        <v>21</v>
      </c>
      <c r="B7" t="s">
        <v>22</v>
      </c>
      <c r="C7" s="225" t="s">
        <v>23</v>
      </c>
      <c r="D7" t="s">
        <v>24</v>
      </c>
    </row>
    <row r="8" spans="1:4">
      <c r="A8" s="225" t="s">
        <v>25</v>
      </c>
      <c r="B8" t="s">
        <v>26</v>
      </c>
      <c r="C8" s="225" t="s">
        <v>27</v>
      </c>
      <c r="D8" t="s">
        <v>28</v>
      </c>
    </row>
    <row r="9" spans="1:4">
      <c r="A9" s="225" t="s">
        <v>29</v>
      </c>
      <c r="B9" t="s">
        <v>30</v>
      </c>
      <c r="C9" s="225" t="s">
        <v>31</v>
      </c>
      <c r="D9" t="s">
        <v>32</v>
      </c>
    </row>
    <row r="10" spans="1:4">
      <c r="A10" s="225" t="s">
        <v>33</v>
      </c>
      <c r="B10" t="s">
        <v>34</v>
      </c>
      <c r="C10" s="225" t="s">
        <v>35</v>
      </c>
      <c r="D10" t="s">
        <v>36</v>
      </c>
    </row>
    <row r="11" spans="1:4">
      <c r="A11" s="225" t="s">
        <v>37</v>
      </c>
      <c r="B11" t="s">
        <v>38</v>
      </c>
      <c r="C11" s="225" t="s">
        <v>39</v>
      </c>
      <c r="D11" t="s">
        <v>40</v>
      </c>
    </row>
    <row r="12" spans="1:4">
      <c r="A12" s="225" t="s">
        <v>41</v>
      </c>
      <c r="B12" t="s">
        <v>42</v>
      </c>
      <c r="C12" s="225" t="s">
        <v>43</v>
      </c>
      <c r="D12" t="s">
        <v>44</v>
      </c>
    </row>
    <row r="13" spans="1:4">
      <c r="A13" s="225" t="s">
        <v>45</v>
      </c>
      <c r="B13" t="s">
        <v>46</v>
      </c>
      <c r="C13" s="225" t="s">
        <v>47</v>
      </c>
      <c r="D13" t="s">
        <v>48</v>
      </c>
    </row>
    <row r="14" spans="1:4" ht="28.8">
      <c r="A14" s="225" t="s">
        <v>49</v>
      </c>
      <c r="B14" s="219" t="s">
        <v>50</v>
      </c>
      <c r="C14" s="225" t="s">
        <v>51</v>
      </c>
      <c r="D14" t="s">
        <v>52</v>
      </c>
    </row>
    <row r="15" spans="1:4" ht="28.8">
      <c r="A15" s="225" t="s">
        <v>53</v>
      </c>
      <c r="B15" s="219" t="s">
        <v>54</v>
      </c>
      <c r="C15" s="225" t="s">
        <v>55</v>
      </c>
      <c r="D15" t="s">
        <v>56</v>
      </c>
    </row>
    <row r="16" spans="1:4" ht="28.8">
      <c r="A16" s="225" t="s">
        <v>57</v>
      </c>
      <c r="B16" s="219" t="s">
        <v>58</v>
      </c>
      <c r="C16" s="225" t="s">
        <v>59</v>
      </c>
      <c r="D16" t="s">
        <v>60</v>
      </c>
    </row>
    <row r="17" spans="1:4">
      <c r="A17" s="225" t="s">
        <v>61</v>
      </c>
      <c r="B17" t="s">
        <v>62</v>
      </c>
      <c r="C17" s="225" t="s">
        <v>63</v>
      </c>
      <c r="D17" t="s">
        <v>64</v>
      </c>
    </row>
    <row r="18" spans="1:4">
      <c r="A18" s="225" t="s">
        <v>65</v>
      </c>
      <c r="B18" t="s">
        <v>66</v>
      </c>
      <c r="C18" s="225" t="s">
        <v>67</v>
      </c>
      <c r="D18" t="s">
        <v>68</v>
      </c>
    </row>
    <row r="19" spans="1:4">
      <c r="A19" s="225" t="s">
        <v>69</v>
      </c>
      <c r="B19" t="s">
        <v>70</v>
      </c>
      <c r="C19" s="225" t="s">
        <v>71</v>
      </c>
      <c r="D19" t="s">
        <v>72</v>
      </c>
    </row>
    <row r="20" spans="1:4">
      <c r="A20" s="225" t="s">
        <v>73</v>
      </c>
      <c r="B20" t="s">
        <v>74</v>
      </c>
      <c r="C20" s="225" t="s">
        <v>75</v>
      </c>
      <c r="D20" t="s">
        <v>76</v>
      </c>
    </row>
    <row r="21" spans="1:4">
      <c r="A21" s="225" t="s">
        <v>77</v>
      </c>
      <c r="B21" t="s">
        <v>78</v>
      </c>
      <c r="C21" s="225" t="s">
        <v>79</v>
      </c>
      <c r="D21" t="s">
        <v>80</v>
      </c>
    </row>
    <row r="22" spans="1:4">
      <c r="A22" s="225" t="s">
        <v>81</v>
      </c>
      <c r="B22" t="s">
        <v>82</v>
      </c>
      <c r="C22" s="225" t="s">
        <v>83</v>
      </c>
      <c r="D22" t="s">
        <v>84</v>
      </c>
    </row>
    <row r="23" spans="1:4">
      <c r="A23" s="225" t="s">
        <v>85</v>
      </c>
      <c r="B23" t="s">
        <v>86</v>
      </c>
      <c r="C23" s="225"/>
    </row>
    <row r="24" spans="1:4">
      <c r="A24" s="225"/>
      <c r="C24" s="225"/>
    </row>
  </sheetData>
  <phoneticPr fontId="32" type="noConversion"/>
  <hyperlinks>
    <hyperlink ref="A3" location="'3.70'!A1" display="Tabel 3.70" xr:uid="{CDA0D988-22E7-4BE3-A482-C60732D46FF8}"/>
    <hyperlink ref="A4" location="'3.71'!A1" display="Tabel 3.71" xr:uid="{9106BD37-A8E8-43B1-B548-119827A4E486}"/>
    <hyperlink ref="A5" location="'3.72'!A1" display="Tabel 3.72" xr:uid="{66086728-8DE3-4C96-84B4-0119D1236890}"/>
    <hyperlink ref="A6" location="'3.73'!A1" display="Tabel 3.73" xr:uid="{96BA9824-F1B0-4302-8F5D-58B5853177FE}"/>
    <hyperlink ref="A7" location="'3.74'!A1" display="Tabel 3.74" xr:uid="{538801E9-F929-4CE5-BDFD-5066FCA30F7F}"/>
    <hyperlink ref="A8" location="'3.75'!A1" display="Tabel 3.75" xr:uid="{865823A9-4B90-427A-8FE5-0FFA32457B89}"/>
    <hyperlink ref="A9" location="'3.76'!A1" display="Tabel 3.76" xr:uid="{E24BDEF6-839A-4EB0-B4D1-2EFC8C6A6426}"/>
    <hyperlink ref="A10" location="'3.77'!A1" display="Tabel 3.77" xr:uid="{FC915526-CE9B-4EE5-A834-88833BCF8998}"/>
    <hyperlink ref="A11" location="'3.78'!A1" display="Tabel 3.78" xr:uid="{3B9CF2A2-A38F-4EAA-9E59-3EB35FC1EBD7}"/>
    <hyperlink ref="A12" location="'3.79'!A1" display="Tabel 3.79" xr:uid="{F45F5FE5-5AD1-4ECD-8330-40E661F2923A}"/>
    <hyperlink ref="A13" location="'3.80'!A1" display="Tabel 3.80" xr:uid="{33AAFECB-0DEA-4AB2-8DA8-F7C3A41C6B23}"/>
    <hyperlink ref="A14" location="'3.81'!A1" display="Tabel 3.81" xr:uid="{E2CB9149-83A1-4F1C-9665-19F65427EF4D}"/>
    <hyperlink ref="A15" location="'3.82'!A1" display="Tabel 3.82" xr:uid="{AA56DD2D-11F3-4FAA-A484-E6D6443302D5}"/>
    <hyperlink ref="A16" location="'3.83'!A1" display="Tabel 3.83" xr:uid="{E4066296-7A33-426B-A778-866D6BE79F53}"/>
    <hyperlink ref="A17" location="'3.84'!A1" display="Tabel 3.84" xr:uid="{75F14E6B-BC0F-4342-BB90-1FED302EADFB}"/>
    <hyperlink ref="A18" location="'3.85'!A1" display="Tabel 3.85" xr:uid="{D4AF1568-EAF2-4AAD-8474-03069CD0787E}"/>
    <hyperlink ref="A19" location="'3.86'!A1" display="Tabel 3.86" xr:uid="{ACE4C700-7B6F-44B3-8721-14DF9E47636B}"/>
    <hyperlink ref="A20" location="'3.87'!A1" display="Tabel 3.87" xr:uid="{A536E98C-94D0-43C9-B51C-DEB570C280E1}"/>
    <hyperlink ref="A21" location="'3.88'!A1" display="Tabel 3.88" xr:uid="{77A14785-1E88-4C6D-924D-4F09D03AC857}"/>
    <hyperlink ref="A22" location="'3.89'!A1" display="Tabel 3.89" xr:uid="{17C0BFCE-0E11-4C1D-B767-3E6AC4F5EE10}"/>
    <hyperlink ref="A23" location="'3.90'!A1" display="Tabel 3.90" xr:uid="{05BF42C0-5549-4662-9631-BE5B9E5AFE03}"/>
    <hyperlink ref="C3" location="'3.92'!A1" display="Tabel 3.92" xr:uid="{809A091D-D7CA-450F-BE33-62CB3676DA9B}"/>
    <hyperlink ref="C4" location="'3.93'!A1" display="Tabel 3.93" xr:uid="{41B8B4FB-E15E-4C0A-BC6F-5BDDEC83A284}"/>
    <hyperlink ref="C5" location="'3.94'!A1" display="Tabel 3.94" xr:uid="{3A1A3DCC-6CF9-4B98-89A8-B60DA4B36298}"/>
    <hyperlink ref="C6" location="'3.95'!A1" display="Tabel 3.95" xr:uid="{176999A4-5BEA-44FC-94CF-F294010BF07A}"/>
    <hyperlink ref="C7" location="'3.96'!A1" display="Tabel 3.96" xr:uid="{2C7E41E5-6D0F-46FB-9528-17EBD8AC1E67}"/>
    <hyperlink ref="C8" location="'3.97'!A1" display="Tabel 3.97" xr:uid="{47224854-E0C2-43EA-8753-68FE620AE4C5}"/>
    <hyperlink ref="C9" location="'3.98'!A1" display="Tabel 3.98" xr:uid="{0D9219EA-3DBF-418B-BC0A-167CB770F901}"/>
    <hyperlink ref="C10" location="'3.99'!A1" display="Tabel 3.99" xr:uid="{A736D18B-B640-4501-A1AB-1C217CA0E17E}"/>
    <hyperlink ref="C11" location="'3.100'!A1" display="Tabel 3.100" xr:uid="{246F7A9E-0FFD-4386-83A0-8484B9E9D072}"/>
    <hyperlink ref="C12" location="'3.101'!A1" display="Tabel 3.101" xr:uid="{65E54F36-DA5C-441C-99D2-5CC386E6FD7C}"/>
    <hyperlink ref="C13" location="'3.102'!A1" display="Tabel 3.102" xr:uid="{495AB295-753E-44AB-8597-63FB60D8BEA5}"/>
    <hyperlink ref="C14" location="'3.103'!A1" display="Tabel 3.103" xr:uid="{FDDB462E-E748-475D-95E1-AE4BB57FF095}"/>
    <hyperlink ref="C15" location="'3.104'!A1" display="Tabel 3.104" xr:uid="{A0552042-87BA-4473-B96E-6D8D46EB96EC}"/>
    <hyperlink ref="C16" location="'3.105'!A1" display="Tabel 3.105" xr:uid="{8746D3A5-E30A-4FFD-8F27-E420F9F15FC3}"/>
    <hyperlink ref="C17" location="'3.106'!A1" display="Tabel 3.106" xr:uid="{B3F77D21-B6DE-4A5C-BA1D-91D09875B580}"/>
    <hyperlink ref="C18" location="'3.107'!A1" display="Tabel 3.107" xr:uid="{ACEF8A80-5BE9-456D-9012-D4EB861D3C2E}"/>
    <hyperlink ref="C19" location="'3.108'!A1" display="Tabel 3.108" xr:uid="{8F7782A9-D190-46E5-8120-19DFD5616D8F}"/>
    <hyperlink ref="C20" location="'3.109'!A1" display="Tabel 3.109" xr:uid="{865A00B1-965D-47D5-9D7B-027375295B28}"/>
    <hyperlink ref="C21" location="'3.110'!A1" display="Tabel 3.110" xr:uid="{4AB84522-92AE-44B5-9315-610C8089D84D}"/>
    <hyperlink ref="C22" location="'3.111'!A1" display="Tabel 3.111" xr:uid="{C5AC0E9A-99B4-4AAD-916D-E865B486CA90}"/>
    <hyperlink ref="A2" location="'3.69'!A1" display="Tabel 3.69" xr:uid="{3F67D165-B3AE-4F9D-A56E-5B5C88637725}"/>
    <hyperlink ref="C2" location="'3.91'!A1" display="Tabel 3.91" xr:uid="{E183B8C9-5384-4EE5-8DED-839B28F78FD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4A0BB-C656-4FCC-A0E1-E9F83AC1532A}">
  <dimension ref="A1:L20"/>
  <sheetViews>
    <sheetView workbookViewId="0">
      <selection activeCell="E22" sqref="E22"/>
    </sheetView>
  </sheetViews>
  <sheetFormatPr defaultColWidth="9.109375" defaultRowHeight="14.4"/>
  <cols>
    <col min="1" max="1" width="18.88671875" style="2" customWidth="1"/>
    <col min="2" max="2" width="17.109375" style="2" customWidth="1"/>
    <col min="3" max="16384" width="9.109375" style="2"/>
  </cols>
  <sheetData>
    <row r="1" spans="1:12">
      <c r="A1" s="226" t="s">
        <v>87</v>
      </c>
    </row>
    <row r="2" spans="1:12">
      <c r="A2" s="92" t="s">
        <v>173</v>
      </c>
    </row>
    <row r="3" spans="1:12">
      <c r="A3" s="296" t="s">
        <v>124</v>
      </c>
      <c r="B3" s="296" t="s">
        <v>174</v>
      </c>
      <c r="C3" s="302" t="s">
        <v>95</v>
      </c>
      <c r="D3" s="302"/>
      <c r="E3" s="302" t="s">
        <v>96</v>
      </c>
      <c r="F3" s="302"/>
      <c r="G3" s="302" t="s">
        <v>97</v>
      </c>
      <c r="H3" s="302"/>
      <c r="I3" s="302" t="s">
        <v>98</v>
      </c>
      <c r="J3" s="302"/>
      <c r="K3" s="302" t="s">
        <v>99</v>
      </c>
      <c r="L3" s="302"/>
    </row>
    <row r="4" spans="1:12">
      <c r="A4" s="296"/>
      <c r="B4" s="296"/>
      <c r="C4" s="71" t="s">
        <v>133</v>
      </c>
      <c r="D4" s="71" t="s">
        <v>132</v>
      </c>
      <c r="E4" s="71" t="s">
        <v>133</v>
      </c>
      <c r="F4" s="71" t="s">
        <v>132</v>
      </c>
      <c r="G4" s="71" t="s">
        <v>133</v>
      </c>
      <c r="H4" s="71" t="s">
        <v>132</v>
      </c>
      <c r="I4" s="71" t="s">
        <v>133</v>
      </c>
      <c r="J4" s="71" t="s">
        <v>132</v>
      </c>
      <c r="K4" s="71" t="s">
        <v>133</v>
      </c>
      <c r="L4" s="71" t="s">
        <v>132</v>
      </c>
    </row>
    <row r="5" spans="1:12">
      <c r="A5" s="303" t="s">
        <v>131</v>
      </c>
      <c r="B5" s="53" t="s">
        <v>175</v>
      </c>
      <c r="C5" s="93">
        <v>0.94779999999999998</v>
      </c>
      <c r="D5" s="93">
        <v>0.79020000000000001</v>
      </c>
      <c r="E5" s="93">
        <v>0.94930000000000003</v>
      </c>
      <c r="F5" s="93">
        <v>0.77310000000000001</v>
      </c>
      <c r="G5" s="94">
        <v>0.94799999999999995</v>
      </c>
      <c r="H5" s="94">
        <v>0.75960000000000005</v>
      </c>
      <c r="I5" s="172">
        <v>0.94569999999999999</v>
      </c>
      <c r="J5" s="173">
        <v>0.74660000000000004</v>
      </c>
      <c r="K5" s="217">
        <v>0.94230000000000003</v>
      </c>
      <c r="L5" s="217">
        <v>0.72140000000000004</v>
      </c>
    </row>
    <row r="6" spans="1:12">
      <c r="A6" s="303"/>
      <c r="B6" s="53" t="s">
        <v>176</v>
      </c>
      <c r="C6" s="93">
        <v>5.21E-2</v>
      </c>
      <c r="D6" s="93">
        <v>0.14480000000000001</v>
      </c>
      <c r="E6" s="93">
        <v>5.0599999999999999E-2</v>
      </c>
      <c r="F6" s="93">
        <v>0.1527</v>
      </c>
      <c r="G6" s="94">
        <v>5.1900000000000002E-2</v>
      </c>
      <c r="H6" s="94">
        <v>0.16320000000000001</v>
      </c>
      <c r="I6" s="175">
        <v>5.4199999999999998E-2</v>
      </c>
      <c r="J6" s="176">
        <v>0.16980000000000001</v>
      </c>
      <c r="K6" s="217">
        <v>5.7700000000000001E-2</v>
      </c>
      <c r="L6" s="217">
        <v>0.17299999999999999</v>
      </c>
    </row>
    <row r="7" spans="1:12">
      <c r="A7" s="303"/>
      <c r="B7" s="53" t="s">
        <v>177</v>
      </c>
      <c r="C7" s="93">
        <v>1E-4</v>
      </c>
      <c r="D7" s="93">
        <v>6.5000000000000002E-2</v>
      </c>
      <c r="E7" s="93">
        <v>1E-4</v>
      </c>
      <c r="F7" s="93">
        <v>7.4200000000000002E-2</v>
      </c>
      <c r="G7" s="94">
        <v>1E-4</v>
      </c>
      <c r="H7" s="94">
        <v>7.7200000000000005E-2</v>
      </c>
      <c r="I7" s="175">
        <v>1E-4</v>
      </c>
      <c r="J7" s="176">
        <v>8.3500000000000005E-2</v>
      </c>
      <c r="K7" s="217">
        <v>1E-4</v>
      </c>
      <c r="L7" s="217">
        <v>0.1056</v>
      </c>
    </row>
    <row r="8" spans="1:12">
      <c r="A8" s="303" t="s">
        <v>136</v>
      </c>
      <c r="B8" s="53" t="s">
        <v>175</v>
      </c>
      <c r="C8" s="93">
        <v>0.76139999999999997</v>
      </c>
      <c r="D8" s="93">
        <v>0.55420000000000003</v>
      </c>
      <c r="E8" s="93">
        <v>0.76100000000000001</v>
      </c>
      <c r="F8" s="93">
        <v>0.53520000000000001</v>
      </c>
      <c r="G8" s="94">
        <v>0.76019999999999999</v>
      </c>
      <c r="H8" s="94">
        <v>0.52490000000000003</v>
      </c>
      <c r="I8" s="175">
        <v>0.75570000000000004</v>
      </c>
      <c r="J8" s="176">
        <v>0.50360000000000005</v>
      </c>
      <c r="K8" s="217">
        <v>0.75039999999999996</v>
      </c>
      <c r="L8" s="217">
        <v>0.49430000000000002</v>
      </c>
    </row>
    <row r="9" spans="1:12">
      <c r="A9" s="303"/>
      <c r="B9" s="53" t="s">
        <v>176</v>
      </c>
      <c r="C9" s="93">
        <v>0.23849999999999999</v>
      </c>
      <c r="D9" s="93">
        <v>0.32369999999999999</v>
      </c>
      <c r="E9" s="93">
        <v>0.2389</v>
      </c>
      <c r="F9" s="93">
        <v>0.32700000000000001</v>
      </c>
      <c r="G9" s="94">
        <v>0.2397</v>
      </c>
      <c r="H9" s="94">
        <v>0.33860000000000001</v>
      </c>
      <c r="I9" s="175">
        <v>0.2442</v>
      </c>
      <c r="J9" s="176">
        <v>0.33829999999999999</v>
      </c>
      <c r="K9" s="217">
        <v>0.2495</v>
      </c>
      <c r="L9" s="217">
        <v>0.32590000000000002</v>
      </c>
    </row>
    <row r="10" spans="1:12">
      <c r="A10" s="303"/>
      <c r="B10" s="53" t="s">
        <v>177</v>
      </c>
      <c r="C10" s="93">
        <v>1E-4</v>
      </c>
      <c r="D10" s="93">
        <v>0.1221</v>
      </c>
      <c r="E10" s="93">
        <v>1E-4</v>
      </c>
      <c r="F10" s="93">
        <v>0.13780000000000001</v>
      </c>
      <c r="G10" s="94">
        <v>1E-4</v>
      </c>
      <c r="H10" s="94">
        <v>0.13650000000000001</v>
      </c>
      <c r="I10" s="175">
        <v>1E-4</v>
      </c>
      <c r="J10" s="176">
        <v>0.15809999999999999</v>
      </c>
      <c r="K10" s="217">
        <v>1E-4</v>
      </c>
      <c r="L10" s="217">
        <v>0.17979999999999999</v>
      </c>
    </row>
    <row r="11" spans="1:12">
      <c r="A11" s="303" t="s">
        <v>135</v>
      </c>
      <c r="B11" s="53" t="s">
        <v>175</v>
      </c>
      <c r="C11" s="93">
        <v>0.7802</v>
      </c>
      <c r="D11" s="93">
        <v>0.52980000000000005</v>
      </c>
      <c r="E11" s="93">
        <v>0.72499999999999998</v>
      </c>
      <c r="F11" s="93">
        <v>0.51080000000000003</v>
      </c>
      <c r="G11" s="94">
        <v>0.7268</v>
      </c>
      <c r="H11" s="94">
        <v>0.50890000000000002</v>
      </c>
      <c r="I11" s="175">
        <v>0.71260000000000001</v>
      </c>
      <c r="J11" s="176">
        <v>0.50029999999999997</v>
      </c>
      <c r="K11" s="217">
        <v>0.69589999999999996</v>
      </c>
      <c r="L11" s="217">
        <v>0.51239999999999997</v>
      </c>
    </row>
    <row r="12" spans="1:12">
      <c r="A12" s="303"/>
      <c r="B12" s="53" t="s">
        <v>176</v>
      </c>
      <c r="C12" s="93">
        <v>0.21890000000000001</v>
      </c>
      <c r="D12" s="93">
        <v>0.308</v>
      </c>
      <c r="E12" s="93">
        <v>0.27439999999999998</v>
      </c>
      <c r="F12" s="93">
        <v>0.317</v>
      </c>
      <c r="G12" s="94">
        <v>0.27289999999999998</v>
      </c>
      <c r="H12" s="94">
        <v>0.32840000000000003</v>
      </c>
      <c r="I12" s="175">
        <v>0.28699999999999998</v>
      </c>
      <c r="J12" s="176">
        <v>0.33279999999999998</v>
      </c>
      <c r="K12" s="217">
        <v>0.30399999999999999</v>
      </c>
      <c r="L12" s="217">
        <v>0.31430000000000002</v>
      </c>
    </row>
    <row r="13" spans="1:12">
      <c r="A13" s="303"/>
      <c r="B13" s="53" t="s">
        <v>177</v>
      </c>
      <c r="C13" s="93">
        <v>8.9999999999999998E-4</v>
      </c>
      <c r="D13" s="93">
        <v>0.16220000000000001</v>
      </c>
      <c r="E13" s="93">
        <v>5.9999999999999995E-4</v>
      </c>
      <c r="F13" s="93">
        <v>0.17219999999999999</v>
      </c>
      <c r="G13" s="94">
        <v>2.9999999999999997E-4</v>
      </c>
      <c r="H13" s="94">
        <v>0.16270000000000001</v>
      </c>
      <c r="I13" s="175">
        <v>2.9999999999999997E-4</v>
      </c>
      <c r="J13" s="176">
        <v>0.16689999999999999</v>
      </c>
      <c r="K13" s="217">
        <v>2.0000000000000001E-4</v>
      </c>
      <c r="L13" s="217">
        <v>0.1734</v>
      </c>
    </row>
    <row r="14" spans="1:12">
      <c r="A14" s="303" t="s">
        <v>178</v>
      </c>
      <c r="B14" s="53" t="s">
        <v>175</v>
      </c>
      <c r="C14" s="93">
        <v>0.98380000000000001</v>
      </c>
      <c r="D14" s="93">
        <v>0.83620000000000005</v>
      </c>
      <c r="E14" s="93">
        <v>0.98939999999999995</v>
      </c>
      <c r="F14" s="93">
        <v>0.8649</v>
      </c>
      <c r="G14" s="94">
        <v>0.98909999999999998</v>
      </c>
      <c r="H14" s="94">
        <v>0.86660000000000004</v>
      </c>
      <c r="I14" s="175">
        <v>0.98660000000000003</v>
      </c>
      <c r="J14" s="176">
        <v>0.82589999999999997</v>
      </c>
      <c r="K14" s="217">
        <v>0.98129999999999995</v>
      </c>
      <c r="L14" s="217">
        <v>0.81569999999999998</v>
      </c>
    </row>
    <row r="15" spans="1:12">
      <c r="A15" s="303"/>
      <c r="B15" s="53" t="s">
        <v>176</v>
      </c>
      <c r="C15" s="93">
        <v>1.6199999999999999E-2</v>
      </c>
      <c r="D15" s="93">
        <v>0.1229</v>
      </c>
      <c r="E15" s="93">
        <v>1.06E-2</v>
      </c>
      <c r="F15" s="93">
        <v>8.5300000000000001E-2</v>
      </c>
      <c r="G15" s="94">
        <v>1.09E-2</v>
      </c>
      <c r="H15" s="94">
        <v>8.2100000000000006E-2</v>
      </c>
      <c r="I15" s="175">
        <v>1.34E-2</v>
      </c>
      <c r="J15" s="176">
        <v>0.13880000000000001</v>
      </c>
      <c r="K15" s="217">
        <v>1.8700000000000001E-2</v>
      </c>
      <c r="L15" s="217">
        <v>0.14799999999999999</v>
      </c>
    </row>
    <row r="16" spans="1:12">
      <c r="A16" s="303"/>
      <c r="B16" s="53" t="s">
        <v>177</v>
      </c>
      <c r="C16" s="95">
        <v>0</v>
      </c>
      <c r="D16" s="93">
        <v>4.1000000000000002E-2</v>
      </c>
      <c r="E16" s="95">
        <v>0</v>
      </c>
      <c r="F16" s="93">
        <v>4.9799999999999997E-2</v>
      </c>
      <c r="G16" s="96">
        <v>0</v>
      </c>
      <c r="H16" s="94">
        <v>5.1299999999999998E-2</v>
      </c>
      <c r="I16" s="177">
        <v>0</v>
      </c>
      <c r="J16" s="176">
        <v>3.5299999999999998E-2</v>
      </c>
      <c r="K16" s="217">
        <v>0</v>
      </c>
      <c r="L16" s="217">
        <v>3.6299999999999999E-2</v>
      </c>
    </row>
    <row r="17" spans="1:12">
      <c r="A17" s="304" t="s">
        <v>179</v>
      </c>
      <c r="B17" s="52" t="s">
        <v>175</v>
      </c>
      <c r="C17" s="97">
        <v>0.84740000000000004</v>
      </c>
      <c r="D17" s="97">
        <v>0.66279999999999994</v>
      </c>
      <c r="E17" s="97">
        <v>0.84440000000000004</v>
      </c>
      <c r="F17" s="97">
        <v>0.64459999999999995</v>
      </c>
      <c r="G17" s="98">
        <v>0.84379999999999999</v>
      </c>
      <c r="H17" s="98">
        <v>0.63090000000000002</v>
      </c>
      <c r="I17" s="254">
        <v>0.8397</v>
      </c>
      <c r="J17" s="255">
        <v>0.61739999999999995</v>
      </c>
      <c r="K17" s="218">
        <v>0.83460000000000001</v>
      </c>
      <c r="L17" s="218">
        <v>0.60050000000000003</v>
      </c>
    </row>
    <row r="18" spans="1:12">
      <c r="A18" s="304"/>
      <c r="B18" s="52" t="s">
        <v>176</v>
      </c>
      <c r="C18" s="97">
        <v>0.1525</v>
      </c>
      <c r="D18" s="97">
        <v>0.24060000000000001</v>
      </c>
      <c r="E18" s="97">
        <v>0.1555</v>
      </c>
      <c r="F18" s="97">
        <v>0.247</v>
      </c>
      <c r="G18" s="98">
        <v>0.15609999999999999</v>
      </c>
      <c r="H18" s="98">
        <v>0.25969999999999999</v>
      </c>
      <c r="I18" s="254">
        <v>0.16020000000000001</v>
      </c>
      <c r="J18" s="255">
        <v>0.26190000000000002</v>
      </c>
      <c r="K18" s="218">
        <v>0.1653</v>
      </c>
      <c r="L18" s="218">
        <v>0.25750000000000001</v>
      </c>
    </row>
    <row r="19" spans="1:12">
      <c r="A19" s="304"/>
      <c r="B19" s="52" t="s">
        <v>177</v>
      </c>
      <c r="C19" s="98">
        <v>1E-4</v>
      </c>
      <c r="D19" s="98">
        <v>9.6500000000000002E-2</v>
      </c>
      <c r="E19" s="98">
        <v>1E-4</v>
      </c>
      <c r="F19" s="98">
        <v>0.1084</v>
      </c>
      <c r="G19" s="98">
        <v>1E-4</v>
      </c>
      <c r="H19" s="98">
        <v>0.1094</v>
      </c>
      <c r="I19" s="254">
        <v>1E-4</v>
      </c>
      <c r="J19" s="255">
        <v>0.1207</v>
      </c>
      <c r="K19" s="218">
        <v>1E-4</v>
      </c>
      <c r="L19" s="218">
        <v>0.14199999999999999</v>
      </c>
    </row>
    <row r="20" spans="1:12">
      <c r="A20" s="99" t="s">
        <v>180</v>
      </c>
    </row>
  </sheetData>
  <mergeCells count="12">
    <mergeCell ref="A5:A7"/>
    <mergeCell ref="A8:A10"/>
    <mergeCell ref="A11:A13"/>
    <mergeCell ref="A14:A16"/>
    <mergeCell ref="A17:A19"/>
    <mergeCell ref="K3:L3"/>
    <mergeCell ref="I3:J3"/>
    <mergeCell ref="A3:A4"/>
    <mergeCell ref="B3:B4"/>
    <mergeCell ref="C3:D3"/>
    <mergeCell ref="E3:F3"/>
    <mergeCell ref="G3:H3"/>
  </mergeCells>
  <hyperlinks>
    <hyperlink ref="A1" location="Inhoud!A1" display="Terug naar inhoud" xr:uid="{04BAFDA1-83B9-4348-840F-788E9E0DA12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787C-77C2-4D81-BF2A-4A65EF6978C1}">
  <dimension ref="A1:E5"/>
  <sheetViews>
    <sheetView workbookViewId="0">
      <selection activeCell="A3" sqref="A3"/>
    </sheetView>
  </sheetViews>
  <sheetFormatPr defaultColWidth="9.109375" defaultRowHeight="14.4"/>
  <cols>
    <col min="1" max="1" width="5.33203125" style="2" customWidth="1"/>
    <col min="2" max="4" width="5" style="2" bestFit="1" customWidth="1"/>
    <col min="5" max="16384" width="9.109375" style="2"/>
  </cols>
  <sheetData>
    <row r="1" spans="1:5">
      <c r="A1" s="226" t="s">
        <v>87</v>
      </c>
    </row>
    <row r="2" spans="1:5">
      <c r="A2" s="1" t="s">
        <v>181</v>
      </c>
    </row>
    <row r="3" spans="1:5">
      <c r="A3" s="25">
        <v>2018</v>
      </c>
      <c r="B3" s="25">
        <v>2019</v>
      </c>
      <c r="C3" s="25">
        <v>2020</v>
      </c>
      <c r="D3" s="25">
        <v>2021</v>
      </c>
      <c r="E3" s="25">
        <v>2022</v>
      </c>
    </row>
    <row r="4" spans="1:5">
      <c r="A4" s="23">
        <v>103</v>
      </c>
      <c r="B4" s="23">
        <v>116</v>
      </c>
      <c r="C4" s="23">
        <v>123</v>
      </c>
      <c r="D4" s="23">
        <v>98</v>
      </c>
      <c r="E4" s="23">
        <v>126</v>
      </c>
    </row>
    <row r="5" spans="1:5">
      <c r="A5" s="36" t="s">
        <v>182</v>
      </c>
    </row>
  </sheetData>
  <hyperlinks>
    <hyperlink ref="A1" location="Inhoud!A1" display="Terug naar inhoud" xr:uid="{109CA1D0-A279-496A-9F0D-1F3D847022AB}"/>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7DE0-A75A-44D0-A0D5-9BA2F90883BA}">
  <dimension ref="A1:F10"/>
  <sheetViews>
    <sheetView workbookViewId="0">
      <selection activeCell="F15" sqref="F15"/>
    </sheetView>
  </sheetViews>
  <sheetFormatPr defaultColWidth="9.109375" defaultRowHeight="14.4"/>
  <cols>
    <col min="1" max="1" width="24.6640625" style="2" customWidth="1"/>
    <col min="2" max="2" width="13.88671875" style="2" customWidth="1"/>
    <col min="3" max="3" width="9.5546875" style="2" customWidth="1"/>
    <col min="4" max="5" width="13.88671875" style="2" customWidth="1"/>
    <col min="6" max="6" width="19.6640625" style="2" customWidth="1"/>
    <col min="7" max="7" width="18.109375" style="2" customWidth="1"/>
    <col min="8" max="16384" width="9.109375" style="2"/>
  </cols>
  <sheetData>
    <row r="1" spans="1:6">
      <c r="A1" s="226" t="s">
        <v>87</v>
      </c>
    </row>
    <row r="2" spans="1:6">
      <c r="A2" s="3" t="s">
        <v>183</v>
      </c>
    </row>
    <row r="3" spans="1:6">
      <c r="A3" s="305" t="s">
        <v>184</v>
      </c>
      <c r="B3" s="306" t="s">
        <v>185</v>
      </c>
      <c r="C3" s="306" t="s">
        <v>186</v>
      </c>
      <c r="D3" s="306" t="s">
        <v>187</v>
      </c>
      <c r="E3" s="306" t="s">
        <v>188</v>
      </c>
      <c r="F3" s="306" t="s">
        <v>189</v>
      </c>
    </row>
    <row r="4" spans="1:6">
      <c r="A4" s="305"/>
      <c r="B4" s="308"/>
      <c r="C4" s="308"/>
      <c r="D4" s="308"/>
      <c r="E4" s="308"/>
      <c r="F4" s="307"/>
    </row>
    <row r="5" spans="1:6">
      <c r="A5" s="16" t="s">
        <v>131</v>
      </c>
      <c r="B5" s="38">
        <v>58.1</v>
      </c>
      <c r="C5" s="40">
        <v>53.5</v>
      </c>
      <c r="D5" s="213">
        <v>64.698999999999998</v>
      </c>
      <c r="E5" s="279">
        <v>78.043000000000006</v>
      </c>
      <c r="F5" s="210">
        <f>(E5-D5)/D5</f>
        <v>0.20624739176803364</v>
      </c>
    </row>
    <row r="6" spans="1:6">
      <c r="A6" s="16" t="s">
        <v>136</v>
      </c>
      <c r="B6" s="38">
        <v>612.29999999999995</v>
      </c>
      <c r="C6" s="40">
        <v>605.5</v>
      </c>
      <c r="D6" s="213">
        <v>528.19399999999996</v>
      </c>
      <c r="E6" s="213">
        <v>729.34299999999996</v>
      </c>
      <c r="F6" s="210">
        <f t="shared" ref="F6:F9" si="0">(E6-D6)/D6</f>
        <v>0.3808240911483281</v>
      </c>
    </row>
    <row r="7" spans="1:6">
      <c r="A7" s="16" t="s">
        <v>135</v>
      </c>
      <c r="B7" s="38">
        <v>6.8</v>
      </c>
      <c r="C7" s="40">
        <v>5.3</v>
      </c>
      <c r="D7" s="213">
        <v>9.109</v>
      </c>
      <c r="E7" s="279">
        <v>9.6590000000000007</v>
      </c>
      <c r="F7" s="210">
        <f t="shared" si="0"/>
        <v>6.0379844110220737E-2</v>
      </c>
    </row>
    <row r="8" spans="1:6">
      <c r="A8" s="16" t="s">
        <v>134</v>
      </c>
      <c r="B8" s="38">
        <v>6.1</v>
      </c>
      <c r="C8" s="40">
        <v>5.0999999999999996</v>
      </c>
      <c r="D8" s="213">
        <v>9.33</v>
      </c>
      <c r="E8" s="279">
        <v>8.6630000000000003</v>
      </c>
      <c r="F8" s="210">
        <f t="shared" si="0"/>
        <v>-7.1489817792068575E-2</v>
      </c>
    </row>
    <row r="9" spans="1:6">
      <c r="A9" s="15" t="s">
        <v>114</v>
      </c>
      <c r="B9" s="39">
        <v>683.3</v>
      </c>
      <c r="C9" s="41">
        <v>669.4</v>
      </c>
      <c r="D9" s="214">
        <f>SUM(D5:D8)</f>
        <v>611.33199999999999</v>
      </c>
      <c r="E9" s="214">
        <f>SUM(E5:E8)</f>
        <v>825.70799999999997</v>
      </c>
      <c r="F9" s="211">
        <f t="shared" si="0"/>
        <v>0.35067033952091498</v>
      </c>
    </row>
    <row r="10" spans="1:6">
      <c r="A10" s="139" t="s">
        <v>180</v>
      </c>
    </row>
  </sheetData>
  <mergeCells count="6">
    <mergeCell ref="A3:A4"/>
    <mergeCell ref="F3:F4"/>
    <mergeCell ref="B3:B4"/>
    <mergeCell ref="C3:C4"/>
    <mergeCell ref="D3:D4"/>
    <mergeCell ref="E3:E4"/>
  </mergeCells>
  <hyperlinks>
    <hyperlink ref="A1" location="Inhoud!A1" display="Terug naar inhoud" xr:uid="{67389EF7-3551-43B3-9463-4B14D90656A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B0C3-0F62-4C4D-9302-D0ECDEBA496E}">
  <dimension ref="A1:G9"/>
  <sheetViews>
    <sheetView workbookViewId="0">
      <selection activeCell="F14" sqref="F14"/>
    </sheetView>
  </sheetViews>
  <sheetFormatPr defaultColWidth="9.109375" defaultRowHeight="14.4"/>
  <cols>
    <col min="1" max="1" width="19.33203125" style="34" bestFit="1" customWidth="1"/>
    <col min="2" max="7" width="15.6640625" style="34" customWidth="1"/>
    <col min="8" max="16384" width="9.109375" style="34"/>
  </cols>
  <sheetData>
    <row r="1" spans="1:7">
      <c r="A1" s="226" t="s">
        <v>87</v>
      </c>
    </row>
    <row r="2" spans="1:7">
      <c r="A2" s="3" t="s">
        <v>190</v>
      </c>
    </row>
    <row r="3" spans="1:7" ht="43.2">
      <c r="A3" s="20" t="s">
        <v>124</v>
      </c>
      <c r="B3" s="25" t="s">
        <v>191</v>
      </c>
      <c r="C3" s="25" t="s">
        <v>192</v>
      </c>
      <c r="D3" s="25" t="s">
        <v>193</v>
      </c>
      <c r="E3" s="25" t="s">
        <v>194</v>
      </c>
      <c r="F3" s="25" t="s">
        <v>195</v>
      </c>
      <c r="G3" s="25" t="s">
        <v>196</v>
      </c>
    </row>
    <row r="4" spans="1:7">
      <c r="A4" s="80" t="s">
        <v>131</v>
      </c>
      <c r="B4" s="43">
        <v>48850</v>
      </c>
      <c r="C4" s="43">
        <v>49817</v>
      </c>
      <c r="D4" s="43">
        <v>47775</v>
      </c>
      <c r="E4" s="233">
        <v>47273</v>
      </c>
      <c r="F4" s="161">
        <v>67641</v>
      </c>
      <c r="G4" s="234">
        <f>(F4-E4)/E4</f>
        <v>0.4308590527362342</v>
      </c>
    </row>
    <row r="5" spans="1:7">
      <c r="A5" s="80" t="s">
        <v>136</v>
      </c>
      <c r="B5" s="43">
        <v>55442</v>
      </c>
      <c r="C5" s="43">
        <v>55736</v>
      </c>
      <c r="D5" s="43">
        <v>52455</v>
      </c>
      <c r="E5" s="233">
        <v>48408</v>
      </c>
      <c r="F5" s="161">
        <v>69342</v>
      </c>
      <c r="G5" s="234">
        <f t="shared" ref="G5:G8" si="0">(F5-E5)/E5</f>
        <v>0.43244918195339616</v>
      </c>
    </row>
    <row r="6" spans="1:7">
      <c r="A6" s="80" t="s">
        <v>135</v>
      </c>
      <c r="B6" s="43">
        <v>4139</v>
      </c>
      <c r="C6" s="43">
        <v>4255</v>
      </c>
      <c r="D6" s="43">
        <v>4063</v>
      </c>
      <c r="E6" s="233">
        <v>3944</v>
      </c>
      <c r="F6" s="161">
        <v>5612</v>
      </c>
      <c r="G6" s="234">
        <f t="shared" si="0"/>
        <v>0.42292089249492898</v>
      </c>
    </row>
    <row r="7" spans="1:7">
      <c r="A7" s="80" t="s">
        <v>134</v>
      </c>
      <c r="B7" s="43">
        <v>2596</v>
      </c>
      <c r="C7" s="43">
        <v>2643</v>
      </c>
      <c r="D7" s="43">
        <v>2621</v>
      </c>
      <c r="E7" s="233">
        <v>2099</v>
      </c>
      <c r="F7" s="161">
        <v>3072</v>
      </c>
      <c r="G7" s="234">
        <f t="shared" si="0"/>
        <v>0.46355407336827059</v>
      </c>
    </row>
    <row r="8" spans="1:7">
      <c r="A8" s="20" t="s">
        <v>197</v>
      </c>
      <c r="B8" s="44">
        <v>108963</v>
      </c>
      <c r="C8" s="44">
        <v>110594</v>
      </c>
      <c r="D8" s="44">
        <v>105172</v>
      </c>
      <c r="E8" s="235">
        <v>99910</v>
      </c>
      <c r="F8" s="270">
        <v>142850</v>
      </c>
      <c r="G8" s="236">
        <f t="shared" si="0"/>
        <v>0.42978680812731457</v>
      </c>
    </row>
    <row r="9" spans="1:7">
      <c r="A9" s="13" t="s">
        <v>198</v>
      </c>
    </row>
  </sheetData>
  <hyperlinks>
    <hyperlink ref="A1" location="Inhoud!A1" display="Terug naar inhoud" xr:uid="{828E27E2-E545-44BB-9544-CC1B72BDF73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4DFD8-0AF5-4964-AADE-C15E8A71E79C}">
  <dimension ref="A1:G7"/>
  <sheetViews>
    <sheetView workbookViewId="0"/>
  </sheetViews>
  <sheetFormatPr defaultColWidth="9.109375" defaultRowHeight="14.4"/>
  <cols>
    <col min="1" max="1" width="32.88671875" style="34" bestFit="1" customWidth="1"/>
    <col min="2" max="7" width="15.6640625" style="34" customWidth="1"/>
    <col min="8" max="16384" width="9.109375" style="34"/>
  </cols>
  <sheetData>
    <row r="1" spans="1:7">
      <c r="A1" s="226" t="s">
        <v>87</v>
      </c>
    </row>
    <row r="2" spans="1:7">
      <c r="A2" s="3" t="s">
        <v>199</v>
      </c>
    </row>
    <row r="3" spans="1:7" ht="49.5" customHeight="1">
      <c r="A3" s="20" t="s">
        <v>200</v>
      </c>
      <c r="B3" s="25" t="s">
        <v>191</v>
      </c>
      <c r="C3" s="25" t="s">
        <v>192</v>
      </c>
      <c r="D3" s="25" t="s">
        <v>193</v>
      </c>
      <c r="E3" s="25" t="s">
        <v>194</v>
      </c>
      <c r="F3" s="25" t="s">
        <v>195</v>
      </c>
      <c r="G3" s="25" t="s">
        <v>196</v>
      </c>
    </row>
    <row r="4" spans="1:7">
      <c r="A4" s="80" t="s">
        <v>201</v>
      </c>
      <c r="B4" s="43">
        <v>2906</v>
      </c>
      <c r="C4" s="43">
        <v>3178</v>
      </c>
      <c r="D4" s="43">
        <v>3075</v>
      </c>
      <c r="E4" s="233">
        <v>3109</v>
      </c>
      <c r="F4" s="161">
        <v>3539</v>
      </c>
      <c r="G4" s="234">
        <f>(F4-E4)/E4</f>
        <v>0.13830813766484401</v>
      </c>
    </row>
    <row r="5" spans="1:7">
      <c r="A5" s="80" t="s">
        <v>202</v>
      </c>
      <c r="B5" s="43">
        <v>2050</v>
      </c>
      <c r="C5" s="43">
        <v>2311</v>
      </c>
      <c r="D5" s="43">
        <v>2279</v>
      </c>
      <c r="E5" s="233">
        <v>2538</v>
      </c>
      <c r="F5" s="161">
        <v>4584</v>
      </c>
      <c r="G5" s="234">
        <f t="shared" ref="G5:G7" si="0">(F5-E5)/E5</f>
        <v>0.80614657210401897</v>
      </c>
    </row>
    <row r="6" spans="1:7">
      <c r="A6" s="80" t="s">
        <v>203</v>
      </c>
      <c r="B6" s="43">
        <v>2002</v>
      </c>
      <c r="C6" s="43">
        <v>2337</v>
      </c>
      <c r="D6" s="43">
        <v>2199</v>
      </c>
      <c r="E6" s="233">
        <v>2012</v>
      </c>
      <c r="F6" s="161">
        <v>2491</v>
      </c>
      <c r="G6" s="234">
        <f t="shared" si="0"/>
        <v>0.23807157057654074</v>
      </c>
    </row>
    <row r="7" spans="1:7">
      <c r="A7" s="80" t="s">
        <v>204</v>
      </c>
      <c r="B7" s="43">
        <v>1515</v>
      </c>
      <c r="C7" s="43">
        <v>1834</v>
      </c>
      <c r="D7" s="43">
        <v>2081</v>
      </c>
      <c r="E7" s="233">
        <v>1822</v>
      </c>
      <c r="F7" s="161">
        <v>1906</v>
      </c>
      <c r="G7" s="234">
        <f t="shared" si="0"/>
        <v>4.6103183315038418E-2</v>
      </c>
    </row>
  </sheetData>
  <hyperlinks>
    <hyperlink ref="A1" location="Inhoud!A1" display="Terug naar inhoud" xr:uid="{65E1E49F-C5FC-4DCF-9913-133A8522B23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45E46-F329-440D-837A-2951E864D30A}">
  <dimension ref="A1:G13"/>
  <sheetViews>
    <sheetView workbookViewId="0">
      <selection activeCell="A2" sqref="A2"/>
    </sheetView>
  </sheetViews>
  <sheetFormatPr defaultColWidth="9.109375" defaultRowHeight="14.4"/>
  <cols>
    <col min="1" max="1" width="31.88671875" style="2" customWidth="1"/>
    <col min="2" max="7" width="15.6640625" style="2" customWidth="1"/>
    <col min="8" max="16384" width="9.109375" style="2"/>
  </cols>
  <sheetData>
    <row r="1" spans="1:7">
      <c r="A1" s="226" t="s">
        <v>87</v>
      </c>
    </row>
    <row r="2" spans="1:7" s="34" customFormat="1">
      <c r="A2" s="1" t="s">
        <v>205</v>
      </c>
    </row>
    <row r="3" spans="1:7" ht="43.2">
      <c r="A3" s="20" t="s">
        <v>200</v>
      </c>
      <c r="B3" s="25" t="s">
        <v>191</v>
      </c>
      <c r="C3" s="25" t="s">
        <v>192</v>
      </c>
      <c r="D3" s="179" t="s">
        <v>193</v>
      </c>
      <c r="E3" s="25" t="s">
        <v>194</v>
      </c>
      <c r="F3" s="25" t="s">
        <v>195</v>
      </c>
      <c r="G3" s="25" t="s">
        <v>196</v>
      </c>
    </row>
    <row r="4" spans="1:7">
      <c r="A4" s="80" t="s">
        <v>206</v>
      </c>
      <c r="B4" s="43">
        <v>6187</v>
      </c>
      <c r="C4" s="43">
        <v>6166</v>
      </c>
      <c r="D4" s="237">
        <v>5998</v>
      </c>
      <c r="E4" s="233">
        <v>6345</v>
      </c>
      <c r="F4" s="161">
        <v>6620</v>
      </c>
      <c r="G4" s="217">
        <f>(F4-E4)/E4</f>
        <v>4.3341213553979512E-2</v>
      </c>
    </row>
    <row r="5" spans="1:7">
      <c r="A5" s="80" t="s">
        <v>207</v>
      </c>
      <c r="B5" s="43">
        <v>1848</v>
      </c>
      <c r="C5" s="43">
        <v>1796</v>
      </c>
      <c r="D5" s="237">
        <v>1654</v>
      </c>
      <c r="E5" s="233">
        <v>1787</v>
      </c>
      <c r="F5" s="161">
        <v>1797</v>
      </c>
      <c r="G5" s="217">
        <f t="shared" ref="G5:G13" si="0">(F5-E5)/E5</f>
        <v>5.5959709009513149E-3</v>
      </c>
    </row>
    <row r="6" spans="1:7" ht="28.8">
      <c r="A6" s="80" t="s">
        <v>208</v>
      </c>
      <c r="B6" s="43">
        <v>1367</v>
      </c>
      <c r="C6" s="43">
        <v>1452</v>
      </c>
      <c r="D6" s="237">
        <v>1230</v>
      </c>
      <c r="E6" s="233">
        <v>1551</v>
      </c>
      <c r="F6" s="161">
        <v>1591</v>
      </c>
      <c r="G6" s="217">
        <f t="shared" si="0"/>
        <v>2.5789813023855575E-2</v>
      </c>
    </row>
    <row r="7" spans="1:7">
      <c r="A7" s="80" t="s">
        <v>209</v>
      </c>
      <c r="B7" s="43">
        <v>1163</v>
      </c>
      <c r="C7" s="43">
        <v>1078</v>
      </c>
      <c r="D7" s="238">
        <v>930</v>
      </c>
      <c r="E7" s="240">
        <v>862</v>
      </c>
      <c r="F7" s="215">
        <v>945</v>
      </c>
      <c r="G7" s="217">
        <f t="shared" si="0"/>
        <v>9.6287703016241302E-2</v>
      </c>
    </row>
    <row r="8" spans="1:7">
      <c r="A8" s="80" t="s">
        <v>210</v>
      </c>
      <c r="B8" s="23">
        <v>516</v>
      </c>
      <c r="C8" s="23">
        <v>465</v>
      </c>
      <c r="D8" s="238">
        <v>476</v>
      </c>
      <c r="E8" s="240">
        <v>337</v>
      </c>
      <c r="F8" s="215">
        <v>315</v>
      </c>
      <c r="G8" s="217">
        <f t="shared" si="0"/>
        <v>-6.5281899109792291E-2</v>
      </c>
    </row>
    <row r="9" spans="1:7">
      <c r="A9" s="80" t="s">
        <v>211</v>
      </c>
      <c r="B9" s="23">
        <v>108</v>
      </c>
      <c r="C9" s="23">
        <v>120</v>
      </c>
      <c r="D9" s="238">
        <v>70</v>
      </c>
      <c r="E9" s="240">
        <v>43</v>
      </c>
      <c r="F9" s="215">
        <v>16</v>
      </c>
      <c r="G9" s="217">
        <f t="shared" si="0"/>
        <v>-0.62790697674418605</v>
      </c>
    </row>
    <row r="10" spans="1:7" ht="28.8">
      <c r="A10" s="80" t="s">
        <v>212</v>
      </c>
      <c r="B10" s="23">
        <v>225</v>
      </c>
      <c r="C10" s="23">
        <v>201</v>
      </c>
      <c r="D10" s="238">
        <v>188</v>
      </c>
      <c r="E10" s="240">
        <v>161</v>
      </c>
      <c r="F10" s="215">
        <v>212</v>
      </c>
      <c r="G10" s="217">
        <f t="shared" si="0"/>
        <v>0.31677018633540371</v>
      </c>
    </row>
    <row r="11" spans="1:7">
      <c r="A11" s="80" t="s">
        <v>213</v>
      </c>
      <c r="B11" s="23">
        <v>29</v>
      </c>
      <c r="C11" s="23">
        <v>33</v>
      </c>
      <c r="D11" s="238">
        <v>40</v>
      </c>
      <c r="E11" s="240">
        <v>35</v>
      </c>
      <c r="F11" s="215">
        <v>57</v>
      </c>
      <c r="G11" s="217">
        <f t="shared" si="0"/>
        <v>0.62857142857142856</v>
      </c>
    </row>
    <row r="12" spans="1:7">
      <c r="A12" s="80" t="s">
        <v>214</v>
      </c>
      <c r="B12" s="23">
        <v>3</v>
      </c>
      <c r="C12" s="23">
        <v>2</v>
      </c>
      <c r="D12" s="238">
        <v>5</v>
      </c>
      <c r="E12" s="240">
        <v>1</v>
      </c>
      <c r="F12" s="215">
        <v>1</v>
      </c>
      <c r="G12" s="217">
        <f t="shared" si="0"/>
        <v>0</v>
      </c>
    </row>
    <row r="13" spans="1:7">
      <c r="A13" s="20" t="s">
        <v>114</v>
      </c>
      <c r="B13" s="44">
        <v>11446</v>
      </c>
      <c r="C13" s="44">
        <v>11313</v>
      </c>
      <c r="D13" s="239">
        <v>10591</v>
      </c>
      <c r="E13" s="235">
        <v>11122</v>
      </c>
      <c r="F13" s="270">
        <f>SUM(F4:F12)</f>
        <v>11554</v>
      </c>
      <c r="G13" s="218">
        <f t="shared" si="0"/>
        <v>3.8841934903794284E-2</v>
      </c>
    </row>
  </sheetData>
  <hyperlinks>
    <hyperlink ref="A1" location="Inhoud!A1" display="Terug naar inhoud" xr:uid="{04C03581-F52E-456E-89D3-22CFBED1A3B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6D2E-B53B-46DC-8AB5-F1B780AF825D}">
  <dimension ref="A1:G31"/>
  <sheetViews>
    <sheetView workbookViewId="0">
      <selection activeCell="A2" sqref="A2"/>
    </sheetView>
  </sheetViews>
  <sheetFormatPr defaultColWidth="9.109375" defaultRowHeight="14.4"/>
  <cols>
    <col min="1" max="1" width="18.88671875" style="34" customWidth="1"/>
    <col min="2" max="7" width="12.6640625" style="34" customWidth="1"/>
    <col min="8" max="16384" width="9.109375" style="34"/>
  </cols>
  <sheetData>
    <row r="1" spans="1:7">
      <c r="A1" s="226" t="s">
        <v>87</v>
      </c>
    </row>
    <row r="2" spans="1:7">
      <c r="A2" s="88" t="s">
        <v>215</v>
      </c>
    </row>
    <row r="3" spans="1:7" ht="32.4" customHeight="1">
      <c r="A3" s="71"/>
      <c r="B3" s="302" t="s">
        <v>216</v>
      </c>
      <c r="C3" s="302"/>
      <c r="D3" s="302" t="s">
        <v>217</v>
      </c>
      <c r="E3" s="302"/>
      <c r="F3" s="302" t="s">
        <v>218</v>
      </c>
      <c r="G3" s="302"/>
    </row>
    <row r="4" spans="1:7" ht="43.2">
      <c r="A4" s="80"/>
      <c r="B4" s="23" t="s">
        <v>219</v>
      </c>
      <c r="C4" s="23" t="s">
        <v>220</v>
      </c>
      <c r="D4" s="23" t="s">
        <v>219</v>
      </c>
      <c r="E4" s="23" t="s">
        <v>220</v>
      </c>
      <c r="F4" s="23" t="s">
        <v>219</v>
      </c>
      <c r="G4" s="23" t="s">
        <v>220</v>
      </c>
    </row>
    <row r="5" spans="1:7" ht="15" thickBot="1">
      <c r="A5" s="80" t="s">
        <v>131</v>
      </c>
      <c r="B5" s="215">
        <v>3823</v>
      </c>
      <c r="C5" s="241">
        <v>5.8099999999999999E-2</v>
      </c>
      <c r="D5" s="186">
        <v>1669</v>
      </c>
      <c r="E5" s="241">
        <v>1.2699999999999999E-2</v>
      </c>
      <c r="F5" s="186">
        <v>96</v>
      </c>
      <c r="G5" s="288">
        <v>-5.8799999999999998E-2</v>
      </c>
    </row>
    <row r="6" spans="1:7" ht="15" thickBot="1">
      <c r="A6" s="80" t="s">
        <v>136</v>
      </c>
      <c r="B6" s="215">
        <v>2518</v>
      </c>
      <c r="C6" s="241">
        <v>1.41E-2</v>
      </c>
      <c r="D6" s="186">
        <v>116</v>
      </c>
      <c r="E6" s="241">
        <v>-0.1212</v>
      </c>
      <c r="F6" s="186">
        <v>217</v>
      </c>
      <c r="G6" s="288">
        <v>-6.0600000000000001E-2</v>
      </c>
    </row>
    <row r="7" spans="1:7" ht="15" thickBot="1">
      <c r="A7" s="80" t="s">
        <v>135</v>
      </c>
      <c r="B7" s="215">
        <v>148</v>
      </c>
      <c r="C7" s="241">
        <v>8.8200000000000001E-2</v>
      </c>
      <c r="D7" s="186">
        <v>4</v>
      </c>
      <c r="E7" s="241">
        <v>3</v>
      </c>
      <c r="F7" s="186">
        <v>3</v>
      </c>
      <c r="G7" s="288">
        <v>0</v>
      </c>
    </row>
    <row r="8" spans="1:7">
      <c r="A8" s="80" t="s">
        <v>178</v>
      </c>
      <c r="B8" s="285">
        <v>185</v>
      </c>
      <c r="C8" s="241">
        <v>7.5600000000000001E-2</v>
      </c>
      <c r="D8" s="286">
        <v>2</v>
      </c>
      <c r="E8" s="241">
        <v>1</v>
      </c>
      <c r="F8" s="286">
        <v>0</v>
      </c>
      <c r="G8" s="288">
        <v>-1</v>
      </c>
    </row>
    <row r="9" spans="1:7">
      <c r="A9" s="20" t="s">
        <v>114</v>
      </c>
      <c r="B9" s="270">
        <v>6620</v>
      </c>
      <c r="C9" s="215"/>
      <c r="D9" s="235">
        <v>1797</v>
      </c>
      <c r="E9" s="215"/>
      <c r="F9" s="287">
        <v>315</v>
      </c>
      <c r="G9" s="250"/>
    </row>
    <row r="10" spans="1:7">
      <c r="A10" s="105" t="s">
        <v>221</v>
      </c>
    </row>
    <row r="11" spans="1:7">
      <c r="A11" s="88"/>
    </row>
    <row r="12" spans="1:7">
      <c r="A12" s="88"/>
    </row>
    <row r="13" spans="1:7" ht="40.950000000000003" customHeight="1">
      <c r="A13" s="71"/>
      <c r="B13" s="302" t="s">
        <v>222</v>
      </c>
      <c r="C13" s="302"/>
      <c r="D13" s="302" t="s">
        <v>223</v>
      </c>
      <c r="E13" s="302"/>
      <c r="F13" s="302" t="s">
        <v>224</v>
      </c>
      <c r="G13" s="302"/>
    </row>
    <row r="14" spans="1:7" ht="43.2">
      <c r="A14" s="80"/>
      <c r="B14" s="23" t="s">
        <v>219</v>
      </c>
      <c r="C14" s="23" t="s">
        <v>220</v>
      </c>
      <c r="D14" s="23" t="s">
        <v>219</v>
      </c>
      <c r="E14" s="23" t="s">
        <v>220</v>
      </c>
      <c r="F14" s="23" t="s">
        <v>219</v>
      </c>
      <c r="G14" s="23" t="s">
        <v>220</v>
      </c>
    </row>
    <row r="15" spans="1:7" ht="15" thickBot="1">
      <c r="A15" s="80" t="s">
        <v>131</v>
      </c>
      <c r="B15" s="188">
        <v>3613</v>
      </c>
      <c r="C15" s="191">
        <v>6.8900000000000003E-2</v>
      </c>
      <c r="D15" s="195">
        <v>1648</v>
      </c>
      <c r="E15" s="191">
        <v>6.8699999999999997E-2</v>
      </c>
      <c r="F15" s="193">
        <v>102</v>
      </c>
      <c r="G15" s="191">
        <v>-0.625</v>
      </c>
    </row>
    <row r="16" spans="1:7" ht="15" thickBot="1">
      <c r="A16" s="80" t="s">
        <v>136</v>
      </c>
      <c r="B16" s="188">
        <v>2483</v>
      </c>
      <c r="C16" s="191">
        <v>4.2799999999999998E-2</v>
      </c>
      <c r="D16" s="192">
        <v>132</v>
      </c>
      <c r="E16" s="191">
        <v>0.1681</v>
      </c>
      <c r="F16" s="193">
        <v>231</v>
      </c>
      <c r="G16" s="191">
        <v>0.13789999999999999</v>
      </c>
    </row>
    <row r="17" spans="1:7" ht="15" thickBot="1">
      <c r="A17" s="80" t="s">
        <v>135</v>
      </c>
      <c r="B17" s="186">
        <v>136</v>
      </c>
      <c r="C17" s="191">
        <v>3.8199999999999998E-2</v>
      </c>
      <c r="D17" s="192">
        <v>1</v>
      </c>
      <c r="E17" s="191">
        <v>1</v>
      </c>
      <c r="F17" s="193">
        <v>3</v>
      </c>
      <c r="G17" s="191">
        <v>2</v>
      </c>
    </row>
    <row r="18" spans="1:7" ht="15" thickBot="1">
      <c r="A18" s="80" t="s">
        <v>178</v>
      </c>
      <c r="B18" s="186">
        <v>172</v>
      </c>
      <c r="C18" s="191">
        <v>0.1467</v>
      </c>
      <c r="D18" s="192">
        <v>1</v>
      </c>
      <c r="E18" s="191">
        <v>-0.66669999999999996</v>
      </c>
      <c r="F18" s="193">
        <v>2</v>
      </c>
      <c r="G18" s="191">
        <v>0</v>
      </c>
    </row>
    <row r="19" spans="1:7" ht="15" thickBot="1">
      <c r="A19" s="20" t="s">
        <v>114</v>
      </c>
      <c r="B19" s="190">
        <v>6404</v>
      </c>
      <c r="C19" s="194"/>
      <c r="D19" s="189">
        <v>1782</v>
      </c>
      <c r="E19" s="194"/>
      <c r="F19" s="187">
        <v>338</v>
      </c>
      <c r="G19" s="194"/>
    </row>
    <row r="20" spans="1:7">
      <c r="A20" s="105" t="s">
        <v>221</v>
      </c>
    </row>
    <row r="21" spans="1:7">
      <c r="A21" s="88"/>
    </row>
    <row r="22" spans="1:7">
      <c r="A22" s="88"/>
    </row>
    <row r="23" spans="1:7" ht="40.200000000000003" customHeight="1">
      <c r="A23" s="71"/>
      <c r="B23" s="302" t="s">
        <v>225</v>
      </c>
      <c r="C23" s="302"/>
      <c r="D23" s="302" t="s">
        <v>226</v>
      </c>
      <c r="E23" s="302"/>
      <c r="F23" s="302" t="s">
        <v>227</v>
      </c>
      <c r="G23" s="302"/>
    </row>
    <row r="24" spans="1:7" ht="28.8">
      <c r="A24" s="80"/>
      <c r="B24" s="23" t="s">
        <v>219</v>
      </c>
      <c r="C24" s="23" t="s">
        <v>228</v>
      </c>
      <c r="D24" s="23" t="s">
        <v>219</v>
      </c>
      <c r="E24" s="23" t="s">
        <v>228</v>
      </c>
      <c r="F24" s="23" t="s">
        <v>219</v>
      </c>
      <c r="G24" s="23" t="s">
        <v>228</v>
      </c>
    </row>
    <row r="25" spans="1:7">
      <c r="A25" s="80" t="s">
        <v>131</v>
      </c>
      <c r="B25" s="43">
        <v>3380</v>
      </c>
      <c r="C25" s="78">
        <v>-4.2799999999999998E-2</v>
      </c>
      <c r="D25" s="43">
        <v>1542</v>
      </c>
      <c r="E25" s="78">
        <v>-7.2800000000000004E-2</v>
      </c>
      <c r="F25" s="23">
        <v>272</v>
      </c>
      <c r="G25" s="78">
        <v>-4.2299999999999997E-2</v>
      </c>
    </row>
    <row r="26" spans="1:7" ht="15" customHeight="1">
      <c r="A26" s="80" t="s">
        <v>136</v>
      </c>
      <c r="B26" s="43">
        <v>2381</v>
      </c>
      <c r="C26" s="78">
        <v>-1.6899999999999998E-2</v>
      </c>
      <c r="D26" s="23">
        <v>113</v>
      </c>
      <c r="E26" s="78">
        <v>-0.18709999999999999</v>
      </c>
      <c r="F26" s="23">
        <v>203</v>
      </c>
      <c r="G26" s="78">
        <v>0.1215</v>
      </c>
    </row>
    <row r="27" spans="1:7">
      <c r="A27" s="80" t="s">
        <v>135</v>
      </c>
      <c r="B27" s="23">
        <v>131</v>
      </c>
      <c r="C27" s="78">
        <v>-4.3799999999999999E-2</v>
      </c>
      <c r="D27" s="23">
        <v>0</v>
      </c>
      <c r="E27" s="77">
        <v>-1</v>
      </c>
      <c r="F27" s="23">
        <v>1</v>
      </c>
      <c r="G27" s="77">
        <v>0</v>
      </c>
    </row>
    <row r="28" spans="1:7">
      <c r="A28" s="80" t="s">
        <v>178</v>
      </c>
      <c r="B28" s="23">
        <v>150</v>
      </c>
      <c r="C28" s="78">
        <v>-1.9599999999999999E-2</v>
      </c>
      <c r="D28" s="23">
        <v>3</v>
      </c>
      <c r="E28" s="77">
        <v>0</v>
      </c>
      <c r="F28" s="23">
        <v>1</v>
      </c>
      <c r="G28" s="77">
        <v>0</v>
      </c>
    </row>
    <row r="29" spans="1:7">
      <c r="A29" s="20" t="s">
        <v>114</v>
      </c>
      <c r="B29" s="44">
        <v>6042</v>
      </c>
      <c r="C29" s="25"/>
      <c r="D29" s="44">
        <v>1658</v>
      </c>
      <c r="E29" s="25"/>
      <c r="F29" s="25">
        <v>477</v>
      </c>
      <c r="G29" s="25"/>
    </row>
    <row r="30" spans="1:7">
      <c r="A30" s="105" t="s">
        <v>221</v>
      </c>
    </row>
    <row r="31" spans="1:7">
      <c r="A31" s="104"/>
    </row>
  </sheetData>
  <mergeCells count="9">
    <mergeCell ref="B3:C3"/>
    <mergeCell ref="D3:E3"/>
    <mergeCell ref="F3:G3"/>
    <mergeCell ref="F23:G23"/>
    <mergeCell ref="B23:C23"/>
    <mergeCell ref="D23:E23"/>
    <mergeCell ref="B13:C13"/>
    <mergeCell ref="D13:E13"/>
    <mergeCell ref="F13:G13"/>
  </mergeCells>
  <hyperlinks>
    <hyperlink ref="A1" location="Inhoud!A1" display="Terug naar inhoud" xr:uid="{D13A5168-8D3D-4164-8FA3-D489FDE5199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2651-8749-4ED7-B2B2-7E872D31B5CB}">
  <dimension ref="A1:H7"/>
  <sheetViews>
    <sheetView workbookViewId="0">
      <selection activeCell="E12" sqref="E12"/>
    </sheetView>
  </sheetViews>
  <sheetFormatPr defaultColWidth="9.109375" defaultRowHeight="14.4"/>
  <cols>
    <col min="1" max="1" width="18.33203125" style="2" bestFit="1" customWidth="1"/>
    <col min="2" max="7" width="15.6640625" style="2" customWidth="1"/>
    <col min="8" max="16384" width="9.109375" style="2"/>
  </cols>
  <sheetData>
    <row r="1" spans="1:8">
      <c r="A1" s="226" t="s">
        <v>87</v>
      </c>
    </row>
    <row r="2" spans="1:8">
      <c r="A2" s="1" t="s">
        <v>229</v>
      </c>
    </row>
    <row r="3" spans="1:8" s="92" customFormat="1" ht="43.2">
      <c r="A3" s="107"/>
      <c r="B3" s="18" t="s">
        <v>230</v>
      </c>
      <c r="C3" s="18" t="s">
        <v>231</v>
      </c>
      <c r="D3" s="18" t="s">
        <v>232</v>
      </c>
      <c r="E3" s="18" t="s">
        <v>233</v>
      </c>
      <c r="F3" s="18" t="s">
        <v>234</v>
      </c>
      <c r="G3" s="18" t="s">
        <v>235</v>
      </c>
    </row>
    <row r="4" spans="1:8">
      <c r="A4" s="108" t="s">
        <v>236</v>
      </c>
      <c r="B4" s="8">
        <v>13571</v>
      </c>
      <c r="C4" s="8">
        <v>15089</v>
      </c>
      <c r="D4" s="8">
        <v>15181</v>
      </c>
      <c r="E4" s="196">
        <v>16097</v>
      </c>
      <c r="F4" s="161">
        <v>17101</v>
      </c>
      <c r="G4" s="173">
        <f>(F4-E4)/E4</f>
        <v>6.2371870534882273E-2</v>
      </c>
      <c r="H4" s="112"/>
    </row>
    <row r="5" spans="1:8" ht="43.2">
      <c r="A5" s="108" t="s">
        <v>237</v>
      </c>
      <c r="B5" s="8">
        <v>6183</v>
      </c>
      <c r="C5" s="8">
        <v>6901</v>
      </c>
      <c r="D5" s="8">
        <v>7412</v>
      </c>
      <c r="E5" s="197">
        <v>7415</v>
      </c>
      <c r="F5" s="161">
        <v>8859</v>
      </c>
      <c r="G5" s="173">
        <f t="shared" ref="G5:G6" si="0">(F5-E5)/E5</f>
        <v>0.19474039109912339</v>
      </c>
      <c r="H5" s="112"/>
    </row>
    <row r="6" spans="1:8">
      <c r="A6" s="107" t="s">
        <v>114</v>
      </c>
      <c r="B6" s="12">
        <v>19754</v>
      </c>
      <c r="C6" s="12">
        <v>21990</v>
      </c>
      <c r="D6" s="12">
        <v>22593</v>
      </c>
      <c r="E6" s="256">
        <v>23512</v>
      </c>
      <c r="F6" s="270">
        <f>SUM(F4:F5)</f>
        <v>25960</v>
      </c>
      <c r="G6" s="258">
        <f t="shared" si="0"/>
        <v>0.10411704661449472</v>
      </c>
      <c r="H6" s="112"/>
    </row>
    <row r="7" spans="1:8">
      <c r="A7" s="109" t="s">
        <v>238</v>
      </c>
    </row>
  </sheetData>
  <hyperlinks>
    <hyperlink ref="A1" location="Inhoud!A1" display="Terug naar inhoud" xr:uid="{8548DF62-7B46-471D-9788-3996242A1EE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945D-7C7D-46A6-8D04-4574EDFE6AD6}">
  <dimension ref="A1:G15"/>
  <sheetViews>
    <sheetView workbookViewId="0">
      <selection activeCell="A13" sqref="A13"/>
    </sheetView>
  </sheetViews>
  <sheetFormatPr defaultColWidth="9.109375" defaultRowHeight="14.4"/>
  <cols>
    <col min="1" max="1" width="37.109375" style="34" customWidth="1"/>
    <col min="2" max="7" width="20.6640625" style="34" customWidth="1"/>
    <col min="8" max="16384" width="9.109375" style="34"/>
  </cols>
  <sheetData>
    <row r="1" spans="1:7">
      <c r="A1" s="226" t="s">
        <v>87</v>
      </c>
    </row>
    <row r="2" spans="1:7">
      <c r="A2" s="88" t="s">
        <v>239</v>
      </c>
    </row>
    <row r="3" spans="1:7" ht="43.2">
      <c r="A3" s="26" t="s">
        <v>200</v>
      </c>
      <c r="B3" s="25" t="s">
        <v>240</v>
      </c>
      <c r="C3" s="25" t="s">
        <v>241</v>
      </c>
      <c r="D3" s="25" t="s">
        <v>242</v>
      </c>
      <c r="E3" s="37" t="s">
        <v>243</v>
      </c>
      <c r="F3" s="37" t="s">
        <v>244</v>
      </c>
      <c r="G3" s="37" t="s">
        <v>196</v>
      </c>
    </row>
    <row r="4" spans="1:7">
      <c r="A4" s="27" t="s">
        <v>245</v>
      </c>
      <c r="B4" s="23">
        <v>146</v>
      </c>
      <c r="C4" s="23">
        <v>152</v>
      </c>
      <c r="D4" s="178">
        <v>140</v>
      </c>
      <c r="E4" s="244">
        <v>112</v>
      </c>
      <c r="F4" s="245">
        <v>135</v>
      </c>
      <c r="G4" s="78">
        <f>(F4-E4)/E4</f>
        <v>0.20535714285714285</v>
      </c>
    </row>
    <row r="5" spans="1:7" ht="28.8">
      <c r="A5" s="27" t="s">
        <v>246</v>
      </c>
      <c r="B5" s="23">
        <v>76</v>
      </c>
      <c r="C5" s="23">
        <v>65</v>
      </c>
      <c r="D5" s="178">
        <v>60</v>
      </c>
      <c r="E5" s="244">
        <v>38</v>
      </c>
      <c r="F5" s="245">
        <v>89</v>
      </c>
      <c r="G5" s="78">
        <f t="shared" ref="G5:G15" si="0">(F5-E5)/E5</f>
        <v>1.3421052631578947</v>
      </c>
    </row>
    <row r="6" spans="1:7" ht="28.8">
      <c r="A6" s="27" t="s">
        <v>247</v>
      </c>
      <c r="B6" s="23">
        <v>2</v>
      </c>
      <c r="C6" s="23">
        <v>3</v>
      </c>
      <c r="D6" s="178">
        <v>3</v>
      </c>
      <c r="E6" s="244">
        <v>3</v>
      </c>
      <c r="F6" s="245">
        <v>7</v>
      </c>
      <c r="G6" s="78">
        <f t="shared" si="0"/>
        <v>1.3333333333333333</v>
      </c>
    </row>
    <row r="7" spans="1:7">
      <c r="A7" s="27" t="s">
        <v>248</v>
      </c>
      <c r="B7" s="43">
        <v>1431</v>
      </c>
      <c r="C7" s="43">
        <v>1708</v>
      </c>
      <c r="D7" s="198">
        <v>1343</v>
      </c>
      <c r="E7" s="196">
        <v>1180</v>
      </c>
      <c r="F7" s="246">
        <v>1511</v>
      </c>
      <c r="G7" s="78">
        <f t="shared" si="0"/>
        <v>0.28050847457627121</v>
      </c>
    </row>
    <row r="8" spans="1:7">
      <c r="A8" s="27" t="s">
        <v>249</v>
      </c>
      <c r="B8" s="43">
        <v>2868</v>
      </c>
      <c r="C8" s="43">
        <v>2821</v>
      </c>
      <c r="D8" s="198">
        <v>2686</v>
      </c>
      <c r="E8" s="196">
        <v>3053</v>
      </c>
      <c r="F8" s="246">
        <v>3105</v>
      </c>
      <c r="G8" s="78">
        <f t="shared" si="0"/>
        <v>1.7032427120864724E-2</v>
      </c>
    </row>
    <row r="9" spans="1:7">
      <c r="A9" s="27" t="s">
        <v>447</v>
      </c>
      <c r="B9" s="43">
        <v>3469</v>
      </c>
      <c r="C9" s="43">
        <v>4028</v>
      </c>
      <c r="D9" s="198">
        <v>4253</v>
      </c>
      <c r="E9" s="196">
        <v>4499</v>
      </c>
      <c r="F9" s="246">
        <v>4592</v>
      </c>
      <c r="G9" s="78">
        <f t="shared" si="0"/>
        <v>2.0671260280062238E-2</v>
      </c>
    </row>
    <row r="10" spans="1:7" ht="28.8">
      <c r="A10" s="27" t="s">
        <v>250</v>
      </c>
      <c r="B10" s="43">
        <v>5247</v>
      </c>
      <c r="C10" s="43">
        <v>5685</v>
      </c>
      <c r="D10" s="198">
        <v>5808</v>
      </c>
      <c r="E10" s="196">
        <v>6047</v>
      </c>
      <c r="F10" s="246">
        <v>6344</v>
      </c>
      <c r="G10" s="78">
        <f t="shared" si="0"/>
        <v>4.9115263767157268E-2</v>
      </c>
    </row>
    <row r="11" spans="1:7" ht="28.8">
      <c r="A11" s="27" t="s">
        <v>251</v>
      </c>
      <c r="B11" s="23">
        <v>155</v>
      </c>
      <c r="C11" s="23">
        <v>277</v>
      </c>
      <c r="D11" s="178">
        <v>371</v>
      </c>
      <c r="E11" s="244">
        <v>462</v>
      </c>
      <c r="F11" s="245">
        <v>568</v>
      </c>
      <c r="G11" s="78">
        <f t="shared" si="0"/>
        <v>0.22943722943722944</v>
      </c>
    </row>
    <row r="12" spans="1:7" ht="28.8">
      <c r="A12" s="27" t="s">
        <v>448</v>
      </c>
      <c r="B12" s="23">
        <v>173</v>
      </c>
      <c r="C12" s="23">
        <v>286</v>
      </c>
      <c r="D12" s="178">
        <v>410</v>
      </c>
      <c r="E12" s="244">
        <v>508</v>
      </c>
      <c r="F12" s="245">
        <v>598</v>
      </c>
      <c r="G12" s="78">
        <f t="shared" si="0"/>
        <v>0.17716535433070865</v>
      </c>
    </row>
    <row r="13" spans="1:7" ht="28.8">
      <c r="A13" s="27" t="s">
        <v>252</v>
      </c>
      <c r="B13" s="23">
        <v>228</v>
      </c>
      <c r="C13" s="23">
        <v>284</v>
      </c>
      <c r="D13" s="178">
        <v>310</v>
      </c>
      <c r="E13" s="244">
        <v>348</v>
      </c>
      <c r="F13" s="245">
        <v>382</v>
      </c>
      <c r="G13" s="78">
        <f t="shared" si="0"/>
        <v>9.7701149425287362E-2</v>
      </c>
    </row>
    <row r="14" spans="1:7">
      <c r="A14" s="27" t="s">
        <v>253</v>
      </c>
      <c r="B14" s="43">
        <v>6183</v>
      </c>
      <c r="C14" s="43">
        <v>6901</v>
      </c>
      <c r="D14" s="178">
        <v>7412</v>
      </c>
      <c r="E14" s="196">
        <v>7415</v>
      </c>
      <c r="F14" s="246">
        <v>8859</v>
      </c>
      <c r="G14" s="78">
        <f t="shared" si="0"/>
        <v>0.19474039109912339</v>
      </c>
    </row>
    <row r="15" spans="1:7">
      <c r="A15" s="26" t="s">
        <v>254</v>
      </c>
      <c r="B15" s="44">
        <v>19978</v>
      </c>
      <c r="C15" s="44">
        <v>22210</v>
      </c>
      <c r="D15" s="243">
        <v>22796</v>
      </c>
      <c r="E15" s="259">
        <v>23665</v>
      </c>
      <c r="F15" s="216">
        <f>SUM(F4:F14)</f>
        <v>26190</v>
      </c>
      <c r="G15" s="45">
        <f t="shared" si="0"/>
        <v>0.10669765476442003</v>
      </c>
    </row>
  </sheetData>
  <hyperlinks>
    <hyperlink ref="A1" location="Inhoud!A1" display="Terug naar inhoud" xr:uid="{7DA4F2E1-2339-4EBC-9074-C1C06870518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6F06-356A-4C7B-8105-0A941A367091}">
  <dimension ref="A1:G11"/>
  <sheetViews>
    <sheetView workbookViewId="0">
      <selection activeCell="E11" sqref="E11"/>
    </sheetView>
  </sheetViews>
  <sheetFormatPr defaultColWidth="9.109375" defaultRowHeight="14.4"/>
  <cols>
    <col min="1" max="1" width="25.6640625" style="34" customWidth="1"/>
    <col min="2" max="7" width="15.6640625" style="34" customWidth="1"/>
    <col min="8" max="16384" width="9.109375" style="34"/>
  </cols>
  <sheetData>
    <row r="1" spans="1:7">
      <c r="A1" s="226" t="s">
        <v>87</v>
      </c>
    </row>
    <row r="2" spans="1:7">
      <c r="A2" s="3" t="s">
        <v>255</v>
      </c>
    </row>
    <row r="3" spans="1:7" ht="43.2">
      <c r="A3" s="20" t="s">
        <v>200</v>
      </c>
      <c r="B3" s="25" t="s">
        <v>95</v>
      </c>
      <c r="C3" s="25" t="s">
        <v>96</v>
      </c>
      <c r="D3" s="25" t="s">
        <v>97</v>
      </c>
      <c r="E3" s="25" t="s">
        <v>98</v>
      </c>
      <c r="F3" s="25" t="s">
        <v>99</v>
      </c>
      <c r="G3" s="25" t="s">
        <v>196</v>
      </c>
    </row>
    <row r="4" spans="1:7" ht="28.8">
      <c r="A4" s="80" t="s">
        <v>256</v>
      </c>
      <c r="B4" s="43">
        <v>1611</v>
      </c>
      <c r="C4" s="43">
        <v>1350</v>
      </c>
      <c r="D4" s="23">
        <v>1124</v>
      </c>
      <c r="E4" s="240">
        <v>841</v>
      </c>
      <c r="F4" s="245">
        <v>568</v>
      </c>
      <c r="G4" s="234">
        <f>(F4-E4)/E4</f>
        <v>-0.32461355529131986</v>
      </c>
    </row>
    <row r="5" spans="1:7" ht="28.8">
      <c r="A5" s="80" t="s">
        <v>257</v>
      </c>
      <c r="B5" s="43">
        <v>3708</v>
      </c>
      <c r="C5" s="43">
        <v>3472</v>
      </c>
      <c r="D5" s="23">
        <v>3192</v>
      </c>
      <c r="E5" s="233">
        <v>2898</v>
      </c>
      <c r="F5" s="246">
        <v>2516</v>
      </c>
      <c r="G5" s="234">
        <f t="shared" ref="G5:G8" si="0">(F5-E5)/E5</f>
        <v>-0.13181504485852311</v>
      </c>
    </row>
    <row r="6" spans="1:7">
      <c r="A6" s="80" t="s">
        <v>258</v>
      </c>
      <c r="B6" s="43">
        <v>1803</v>
      </c>
      <c r="C6" s="43">
        <v>1551</v>
      </c>
      <c r="D6" s="23">
        <v>1279</v>
      </c>
      <c r="E6" s="240">
        <v>976</v>
      </c>
      <c r="F6" s="245">
        <v>622</v>
      </c>
      <c r="G6" s="234">
        <f t="shared" si="0"/>
        <v>-0.36270491803278687</v>
      </c>
    </row>
    <row r="7" spans="1:7">
      <c r="A7" s="80" t="s">
        <v>259</v>
      </c>
      <c r="B7" s="43">
        <v>2933</v>
      </c>
      <c r="C7" s="43">
        <v>2573</v>
      </c>
      <c r="D7" s="23">
        <v>2185</v>
      </c>
      <c r="E7" s="233">
        <v>1667</v>
      </c>
      <c r="F7" s="246">
        <v>1104</v>
      </c>
      <c r="G7" s="234">
        <f t="shared" si="0"/>
        <v>-0.33773245350929815</v>
      </c>
    </row>
    <row r="8" spans="1:7">
      <c r="A8" s="20" t="s">
        <v>114</v>
      </c>
      <c r="B8" s="44">
        <v>10055</v>
      </c>
      <c r="C8" s="44">
        <v>8946</v>
      </c>
      <c r="D8" s="25">
        <v>7780</v>
      </c>
      <c r="E8" s="235">
        <v>6382</v>
      </c>
      <c r="F8" s="289">
        <v>4810</v>
      </c>
      <c r="G8" s="236">
        <f t="shared" si="0"/>
        <v>-0.24631776872453776</v>
      </c>
    </row>
    <row r="11" spans="1:7">
      <c r="A11" s="110"/>
    </row>
  </sheetData>
  <hyperlinks>
    <hyperlink ref="A1" location="Inhoud!A1" display="Terug naar inhoud" xr:uid="{503582E6-BF7A-4AE6-A472-E0F9954E4BD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C210-02EB-4446-A33C-02BB35BA1001}">
  <dimension ref="A1:K6"/>
  <sheetViews>
    <sheetView workbookViewId="0"/>
  </sheetViews>
  <sheetFormatPr defaultColWidth="9.109375" defaultRowHeight="14.4"/>
  <cols>
    <col min="1" max="10" width="10.44140625" style="34" customWidth="1"/>
    <col min="11" max="11" width="10.109375" style="34" customWidth="1"/>
    <col min="12" max="16384" width="9.109375" style="34"/>
  </cols>
  <sheetData>
    <row r="1" spans="1:11">
      <c r="A1" s="226" t="s">
        <v>87</v>
      </c>
    </row>
    <row r="2" spans="1:11" ht="15" thickBot="1">
      <c r="A2" s="1" t="s">
        <v>88</v>
      </c>
    </row>
    <row r="3" spans="1:11" ht="15" thickBot="1">
      <c r="A3" s="251" t="s">
        <v>89</v>
      </c>
      <c r="B3" s="252" t="s">
        <v>90</v>
      </c>
      <c r="C3" s="252" t="s">
        <v>91</v>
      </c>
      <c r="D3" s="252" t="s">
        <v>92</v>
      </c>
      <c r="E3" s="252" t="s">
        <v>93</v>
      </c>
      <c r="F3" s="252" t="s">
        <v>94</v>
      </c>
      <c r="G3" s="252" t="s">
        <v>95</v>
      </c>
      <c r="H3" s="253" t="s">
        <v>96</v>
      </c>
      <c r="I3" s="253" t="s">
        <v>97</v>
      </c>
      <c r="J3" s="253" t="s">
        <v>98</v>
      </c>
      <c r="K3" s="253" t="s">
        <v>99</v>
      </c>
    </row>
    <row r="4" spans="1:11" ht="15" thickBot="1">
      <c r="A4" s="166">
        <v>181085</v>
      </c>
      <c r="B4" s="167">
        <v>182706</v>
      </c>
      <c r="C4" s="167">
        <v>182128</v>
      </c>
      <c r="D4" s="167">
        <v>182834</v>
      </c>
      <c r="E4" s="167">
        <v>183526</v>
      </c>
      <c r="F4" s="167">
        <v>185050</v>
      </c>
      <c r="G4" s="167">
        <v>186444</v>
      </c>
      <c r="H4" s="168">
        <v>188840</v>
      </c>
      <c r="I4" s="168">
        <v>189312</v>
      </c>
      <c r="J4" s="168">
        <v>193281</v>
      </c>
      <c r="K4" s="168">
        <v>201307</v>
      </c>
    </row>
    <row r="5" spans="1:11" ht="15" thickBot="1">
      <c r="A5" s="169">
        <v>1E-3</v>
      </c>
      <c r="B5" s="170">
        <v>8.9999999999999993E-3</v>
      </c>
      <c r="C5" s="170">
        <v>-3.2000000000000002E-3</v>
      </c>
      <c r="D5" s="170">
        <v>3.8999999999999998E-3</v>
      </c>
      <c r="E5" s="170">
        <v>3.8E-3</v>
      </c>
      <c r="F5" s="170">
        <v>8.3000000000000001E-3</v>
      </c>
      <c r="G5" s="170">
        <v>7.4999999999999997E-3</v>
      </c>
      <c r="H5" s="171">
        <v>1.29E-2</v>
      </c>
      <c r="I5" s="171">
        <v>2.5000000000000001E-3</v>
      </c>
      <c r="J5" s="171">
        <v>2.1000000000000001E-2</v>
      </c>
      <c r="K5" s="171">
        <v>4.1500000000000002E-2</v>
      </c>
    </row>
    <row r="6" spans="1:11">
      <c r="A6" s="132" t="s">
        <v>100</v>
      </c>
    </row>
  </sheetData>
  <hyperlinks>
    <hyperlink ref="A1" location="Inhoud!A1" display="Terug naar inhoud" xr:uid="{DBAA5C4C-E05E-4E99-BB59-8B779FCB2E0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746C-3906-41E5-A48D-6C5EC4734697}">
  <dimension ref="A1:F19"/>
  <sheetViews>
    <sheetView workbookViewId="0">
      <selection activeCell="C19" sqref="C19:D19"/>
    </sheetView>
  </sheetViews>
  <sheetFormatPr defaultColWidth="9.109375" defaultRowHeight="14.4"/>
  <cols>
    <col min="1" max="1" width="62.33203125" style="2" customWidth="1"/>
    <col min="2" max="5" width="12.6640625" style="111" customWidth="1"/>
    <col min="6" max="6" width="15.6640625" style="111" customWidth="1"/>
    <col min="7" max="16384" width="9.109375" style="2"/>
  </cols>
  <sheetData>
    <row r="1" spans="1:6">
      <c r="A1" s="226" t="s">
        <v>87</v>
      </c>
    </row>
    <row r="2" spans="1:6">
      <c r="A2" s="3" t="s">
        <v>260</v>
      </c>
    </row>
    <row r="3" spans="1:6" ht="43.2">
      <c r="A3" s="20" t="s">
        <v>200</v>
      </c>
      <c r="B3" s="25" t="s">
        <v>96</v>
      </c>
      <c r="C3" s="25" t="s">
        <v>97</v>
      </c>
      <c r="D3" s="25" t="s">
        <v>98</v>
      </c>
      <c r="E3" s="25" t="s">
        <v>99</v>
      </c>
      <c r="F3" s="25" t="s">
        <v>196</v>
      </c>
    </row>
    <row r="4" spans="1:6">
      <c r="A4" s="80" t="s">
        <v>261</v>
      </c>
      <c r="B4" s="23">
        <v>82</v>
      </c>
      <c r="C4" s="23">
        <v>84</v>
      </c>
      <c r="D4" s="240">
        <v>83</v>
      </c>
      <c r="E4" s="245">
        <v>82</v>
      </c>
      <c r="F4" s="234">
        <f>(E4-D4)/D4</f>
        <v>-1.2048192771084338E-2</v>
      </c>
    </row>
    <row r="5" spans="1:6">
      <c r="A5" s="80" t="s">
        <v>262</v>
      </c>
      <c r="B5" s="23">
        <v>35</v>
      </c>
      <c r="C5" s="23">
        <v>26</v>
      </c>
      <c r="D5" s="240">
        <v>36</v>
      </c>
      <c r="E5" s="245">
        <v>33</v>
      </c>
      <c r="F5" s="234">
        <f t="shared" ref="F5:F17" si="0">(E5-D5)/D5</f>
        <v>-8.3333333333333329E-2</v>
      </c>
    </row>
    <row r="6" spans="1:6" ht="18.75" customHeight="1">
      <c r="A6" s="80" t="s">
        <v>263</v>
      </c>
      <c r="B6" s="43">
        <v>1415</v>
      </c>
      <c r="C6" s="23">
        <v>1271</v>
      </c>
      <c r="D6" s="233">
        <v>1640</v>
      </c>
      <c r="E6" s="246">
        <v>2431</v>
      </c>
      <c r="F6" s="234">
        <f t="shared" si="0"/>
        <v>0.48231707317073169</v>
      </c>
    </row>
    <row r="7" spans="1:6">
      <c r="A7" s="80" t="s">
        <v>264</v>
      </c>
      <c r="B7" s="23">
        <v>640</v>
      </c>
      <c r="C7" s="23">
        <v>639</v>
      </c>
      <c r="D7" s="240">
        <v>666</v>
      </c>
      <c r="E7" s="245">
        <v>692</v>
      </c>
      <c r="F7" s="234">
        <f t="shared" si="0"/>
        <v>3.903903903903904E-2</v>
      </c>
    </row>
    <row r="8" spans="1:6">
      <c r="A8" s="80" t="s">
        <v>265</v>
      </c>
      <c r="B8" s="43">
        <v>2200</v>
      </c>
      <c r="C8" s="23">
        <v>2428</v>
      </c>
      <c r="D8" s="233">
        <v>2584</v>
      </c>
      <c r="E8" s="246">
        <v>2879</v>
      </c>
      <c r="F8" s="234">
        <f t="shared" si="0"/>
        <v>0.1141640866873065</v>
      </c>
    </row>
    <row r="9" spans="1:6">
      <c r="A9" s="80" t="s">
        <v>266</v>
      </c>
      <c r="B9" s="43">
        <v>1406</v>
      </c>
      <c r="C9" s="23">
        <v>1249</v>
      </c>
      <c r="D9" s="233">
        <v>1402</v>
      </c>
      <c r="E9" s="246">
        <v>1696</v>
      </c>
      <c r="F9" s="234">
        <f t="shared" si="0"/>
        <v>0.20970042796005706</v>
      </c>
    </row>
    <row r="10" spans="1:6">
      <c r="A10" s="80" t="s">
        <v>267</v>
      </c>
      <c r="B10" s="43">
        <v>6178</v>
      </c>
      <c r="C10" s="23">
        <v>6345</v>
      </c>
      <c r="D10" s="233">
        <v>6639</v>
      </c>
      <c r="E10" s="246">
        <v>7492</v>
      </c>
      <c r="F10" s="234">
        <f t="shared" si="0"/>
        <v>0.1284832053020033</v>
      </c>
    </row>
    <row r="11" spans="1:6">
      <c r="A11" s="80" t="s">
        <v>268</v>
      </c>
      <c r="B11" s="43">
        <v>1949</v>
      </c>
      <c r="C11" s="23">
        <v>2378</v>
      </c>
      <c r="D11" s="233">
        <v>2398</v>
      </c>
      <c r="E11" s="246">
        <v>2942</v>
      </c>
      <c r="F11" s="234">
        <f t="shared" si="0"/>
        <v>0.22685571309424521</v>
      </c>
    </row>
    <row r="12" spans="1:6">
      <c r="A12" s="80" t="s">
        <v>269</v>
      </c>
      <c r="B12" s="23">
        <v>11</v>
      </c>
      <c r="C12" s="23">
        <v>5</v>
      </c>
      <c r="D12" s="240">
        <v>7</v>
      </c>
      <c r="E12" s="245">
        <v>13</v>
      </c>
      <c r="F12" s="234">
        <f t="shared" si="0"/>
        <v>0.8571428571428571</v>
      </c>
    </row>
    <row r="13" spans="1:6">
      <c r="A13" s="215" t="s">
        <v>270</v>
      </c>
      <c r="B13" s="215">
        <v>0</v>
      </c>
      <c r="C13" s="215">
        <v>0</v>
      </c>
      <c r="D13" s="215">
        <v>61</v>
      </c>
      <c r="E13" s="245">
        <v>188</v>
      </c>
      <c r="F13" s="234">
        <f t="shared" si="0"/>
        <v>2.081967213114754</v>
      </c>
    </row>
    <row r="14" spans="1:6">
      <c r="A14" s="215" t="s">
        <v>271</v>
      </c>
      <c r="B14" s="215">
        <v>0</v>
      </c>
      <c r="C14" s="215">
        <v>0</v>
      </c>
      <c r="D14" s="215">
        <v>14</v>
      </c>
      <c r="E14" s="245">
        <v>21</v>
      </c>
      <c r="F14" s="234">
        <f t="shared" si="0"/>
        <v>0.5</v>
      </c>
    </row>
    <row r="15" spans="1:6">
      <c r="A15" s="215" t="s">
        <v>272</v>
      </c>
      <c r="B15" s="215">
        <v>0</v>
      </c>
      <c r="C15" s="215">
        <v>0</v>
      </c>
      <c r="D15" s="215">
        <v>34</v>
      </c>
      <c r="E15" s="245">
        <v>69</v>
      </c>
      <c r="F15" s="234">
        <f t="shared" si="0"/>
        <v>1.0294117647058822</v>
      </c>
    </row>
    <row r="16" spans="1:6">
      <c r="A16" s="215" t="s">
        <v>273</v>
      </c>
      <c r="B16" s="215">
        <v>0</v>
      </c>
      <c r="C16" s="215">
        <v>0</v>
      </c>
      <c r="D16" s="215">
        <v>14</v>
      </c>
      <c r="E16" s="245">
        <v>24</v>
      </c>
      <c r="F16" s="234">
        <f t="shared" si="0"/>
        <v>0.7142857142857143</v>
      </c>
    </row>
    <row r="17" spans="1:6">
      <c r="A17" s="216"/>
      <c r="B17" s="216">
        <v>13916</v>
      </c>
      <c r="C17" s="216">
        <f>SUM(C4:C16)</f>
        <v>14425</v>
      </c>
      <c r="D17" s="216">
        <f>SUM(D4:D16)</f>
        <v>15578</v>
      </c>
      <c r="E17" s="289">
        <v>18562</v>
      </c>
      <c r="F17" s="236">
        <f t="shared" si="0"/>
        <v>0.19155218898446527</v>
      </c>
    </row>
    <row r="19" spans="1:6" ht="30" customHeight="1">
      <c r="A19" s="309" t="s">
        <v>274</v>
      </c>
      <c r="B19" s="310"/>
      <c r="C19" s="311"/>
      <c r="D19" s="312"/>
      <c r="E19"/>
    </row>
  </sheetData>
  <mergeCells count="2">
    <mergeCell ref="A19:B19"/>
    <mergeCell ref="C19:D19"/>
  </mergeCells>
  <hyperlinks>
    <hyperlink ref="A1" location="Inhoud!A1" display="Terug naar inhoud" xr:uid="{F17689C5-2082-40DC-BD39-63D7D3C91BF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5A7A-EFF7-4B59-9CFC-2DBB6335F0CF}">
  <dimension ref="A1:G19"/>
  <sheetViews>
    <sheetView workbookViewId="0">
      <selection activeCell="E21" sqref="E21"/>
    </sheetView>
  </sheetViews>
  <sheetFormatPr defaultColWidth="9.109375" defaultRowHeight="14.4"/>
  <cols>
    <col min="1" max="1" width="44.6640625" style="2" bestFit="1" customWidth="1"/>
    <col min="2" max="7" width="15.6640625" style="2" customWidth="1"/>
    <col min="8" max="16384" width="9.109375" style="2"/>
  </cols>
  <sheetData>
    <row r="1" spans="1:7">
      <c r="A1" s="226" t="s">
        <v>87</v>
      </c>
    </row>
    <row r="2" spans="1:7">
      <c r="A2" s="1" t="s">
        <v>275</v>
      </c>
    </row>
    <row r="3" spans="1:7" ht="43.2">
      <c r="A3" s="26" t="s">
        <v>200</v>
      </c>
      <c r="B3" s="25" t="s">
        <v>191</v>
      </c>
      <c r="C3" s="25" t="s">
        <v>192</v>
      </c>
      <c r="D3" s="25" t="s">
        <v>193</v>
      </c>
      <c r="E3" s="25" t="s">
        <v>194</v>
      </c>
      <c r="F3" s="25" t="s">
        <v>195</v>
      </c>
      <c r="G3" s="25" t="s">
        <v>196</v>
      </c>
    </row>
    <row r="4" spans="1:7">
      <c r="A4" s="27" t="s">
        <v>276</v>
      </c>
      <c r="B4" s="23">
        <v>711</v>
      </c>
      <c r="C4" s="23">
        <v>790</v>
      </c>
      <c r="D4" s="23">
        <v>828</v>
      </c>
      <c r="E4" s="245">
        <v>500</v>
      </c>
      <c r="F4" s="215">
        <v>436</v>
      </c>
      <c r="G4" s="234">
        <f>(F4-E4)/E4</f>
        <v>-0.128</v>
      </c>
    </row>
    <row r="5" spans="1:7">
      <c r="A5" s="27" t="s">
        <v>277</v>
      </c>
      <c r="B5" s="43">
        <v>2421</v>
      </c>
      <c r="C5" s="23">
        <v>2866</v>
      </c>
      <c r="D5" s="23">
        <v>3043</v>
      </c>
      <c r="E5" s="246">
        <v>2682</v>
      </c>
      <c r="F5" s="161">
        <v>2284</v>
      </c>
      <c r="G5" s="234">
        <f t="shared" ref="G5:G19" si="0">(F5-E5)/E5</f>
        <v>-0.14839671886651754</v>
      </c>
    </row>
    <row r="6" spans="1:7">
      <c r="A6" s="27" t="s">
        <v>278</v>
      </c>
      <c r="B6" s="43">
        <v>4097</v>
      </c>
      <c r="C6" s="43">
        <v>5708</v>
      </c>
      <c r="D6" s="23">
        <v>7118</v>
      </c>
      <c r="E6" s="246">
        <v>7921</v>
      </c>
      <c r="F6" s="161">
        <v>7994</v>
      </c>
      <c r="G6" s="234">
        <f t="shared" si="0"/>
        <v>9.2160080797879049E-3</v>
      </c>
    </row>
    <row r="7" spans="1:7">
      <c r="A7" s="27" t="s">
        <v>279</v>
      </c>
      <c r="B7" s="23">
        <v>116</v>
      </c>
      <c r="C7" s="23">
        <v>158</v>
      </c>
      <c r="D7" s="23">
        <v>152</v>
      </c>
      <c r="E7" s="245">
        <v>141</v>
      </c>
      <c r="F7" s="215">
        <v>151</v>
      </c>
      <c r="G7" s="234">
        <f t="shared" si="0"/>
        <v>7.0921985815602842E-2</v>
      </c>
    </row>
    <row r="8" spans="1:7">
      <c r="A8" s="27" t="s">
        <v>280</v>
      </c>
      <c r="B8" s="23">
        <v>207</v>
      </c>
      <c r="C8" s="23">
        <v>321</v>
      </c>
      <c r="D8" s="23">
        <v>437</v>
      </c>
      <c r="E8" s="245">
        <v>537</v>
      </c>
      <c r="F8" s="215">
        <v>643</v>
      </c>
      <c r="G8" s="234">
        <f t="shared" si="0"/>
        <v>0.1973929236499069</v>
      </c>
    </row>
    <row r="9" spans="1:7">
      <c r="A9" s="27" t="s">
        <v>281</v>
      </c>
      <c r="B9" s="23">
        <v>251</v>
      </c>
      <c r="C9" s="23">
        <v>440</v>
      </c>
      <c r="D9" s="23">
        <v>715</v>
      </c>
      <c r="E9" s="245">
        <v>966</v>
      </c>
      <c r="F9" s="161">
        <v>1281</v>
      </c>
      <c r="G9" s="234">
        <f t="shared" si="0"/>
        <v>0.32608695652173914</v>
      </c>
    </row>
    <row r="10" spans="1:7">
      <c r="A10" s="27" t="s">
        <v>282</v>
      </c>
      <c r="B10" s="23">
        <v>4</v>
      </c>
      <c r="C10" s="23">
        <v>3</v>
      </c>
      <c r="D10" s="23">
        <v>4</v>
      </c>
      <c r="E10" s="245">
        <v>9</v>
      </c>
      <c r="F10" s="215">
        <v>3</v>
      </c>
      <c r="G10" s="234">
        <f t="shared" si="0"/>
        <v>-0.66666666666666663</v>
      </c>
    </row>
    <row r="11" spans="1:7">
      <c r="A11" s="27" t="s">
        <v>283</v>
      </c>
      <c r="B11" s="23">
        <v>1</v>
      </c>
      <c r="C11" s="23">
        <v>1</v>
      </c>
      <c r="D11" s="23">
        <v>3</v>
      </c>
      <c r="E11" s="245">
        <v>1</v>
      </c>
      <c r="F11" s="215">
        <v>1</v>
      </c>
      <c r="G11" s="234">
        <f t="shared" si="0"/>
        <v>0</v>
      </c>
    </row>
    <row r="12" spans="1:7">
      <c r="A12" s="27" t="s">
        <v>284</v>
      </c>
      <c r="B12" s="23">
        <v>4</v>
      </c>
      <c r="C12" s="23">
        <v>4</v>
      </c>
      <c r="D12" s="23">
        <v>1</v>
      </c>
      <c r="E12" s="245">
        <v>3</v>
      </c>
      <c r="F12" s="215">
        <v>1</v>
      </c>
      <c r="G12" s="234">
        <f t="shared" si="0"/>
        <v>-0.66666666666666663</v>
      </c>
    </row>
    <row r="13" spans="1:7">
      <c r="A13" s="27" t="s">
        <v>285</v>
      </c>
      <c r="B13" s="23">
        <v>11</v>
      </c>
      <c r="C13" s="23">
        <v>6</v>
      </c>
      <c r="D13" s="23">
        <v>5</v>
      </c>
      <c r="E13" s="245">
        <v>3</v>
      </c>
      <c r="F13" s="215">
        <v>8</v>
      </c>
      <c r="G13" s="234">
        <f t="shared" si="0"/>
        <v>1.6666666666666667</v>
      </c>
    </row>
    <row r="14" spans="1:7">
      <c r="A14" s="27" t="s">
        <v>286</v>
      </c>
      <c r="B14" s="23">
        <v>46</v>
      </c>
      <c r="C14" s="23">
        <v>48</v>
      </c>
      <c r="D14" s="23">
        <v>53</v>
      </c>
      <c r="E14" s="245">
        <v>58</v>
      </c>
      <c r="F14" s="215">
        <v>56</v>
      </c>
      <c r="G14" s="234">
        <f t="shared" si="0"/>
        <v>-3.4482758620689655E-2</v>
      </c>
    </row>
    <row r="15" spans="1:7">
      <c r="A15" s="27" t="s">
        <v>287</v>
      </c>
      <c r="B15" s="23">
        <v>52</v>
      </c>
      <c r="C15" s="23">
        <v>76</v>
      </c>
      <c r="D15" s="23">
        <v>96</v>
      </c>
      <c r="E15" s="245">
        <v>121</v>
      </c>
      <c r="F15" s="215">
        <v>135</v>
      </c>
      <c r="G15" s="234">
        <f t="shared" si="0"/>
        <v>0.11570247933884298</v>
      </c>
    </row>
    <row r="16" spans="1:7">
      <c r="A16" s="27" t="s">
        <v>288</v>
      </c>
      <c r="B16" s="23">
        <v>79</v>
      </c>
      <c r="C16" s="23">
        <v>78</v>
      </c>
      <c r="D16" s="23">
        <v>60</v>
      </c>
      <c r="E16" s="245">
        <v>60</v>
      </c>
      <c r="F16" s="215">
        <v>66</v>
      </c>
      <c r="G16" s="234">
        <f t="shared" si="0"/>
        <v>0.1</v>
      </c>
    </row>
    <row r="17" spans="1:7">
      <c r="A17" s="27" t="s">
        <v>289</v>
      </c>
      <c r="B17" s="23">
        <v>117</v>
      </c>
      <c r="C17" s="23">
        <v>117</v>
      </c>
      <c r="D17" s="23">
        <v>120</v>
      </c>
      <c r="E17" s="245">
        <v>136</v>
      </c>
      <c r="F17" s="215">
        <v>122</v>
      </c>
      <c r="G17" s="234">
        <f t="shared" si="0"/>
        <v>-0.10294117647058823</v>
      </c>
    </row>
    <row r="18" spans="1:7">
      <c r="A18" s="27" t="s">
        <v>290</v>
      </c>
      <c r="B18" s="23">
        <v>137</v>
      </c>
      <c r="C18" s="23">
        <v>164</v>
      </c>
      <c r="D18" s="23">
        <v>203</v>
      </c>
      <c r="E18" s="245">
        <v>220</v>
      </c>
      <c r="F18" s="215">
        <v>236</v>
      </c>
      <c r="G18" s="234">
        <f t="shared" si="0"/>
        <v>7.2727272727272724E-2</v>
      </c>
    </row>
    <row r="19" spans="1:7">
      <c r="A19" s="26" t="s">
        <v>114</v>
      </c>
      <c r="B19" s="44">
        <v>8254</v>
      </c>
      <c r="C19" s="44">
        <v>10780</v>
      </c>
      <c r="D19" s="25">
        <v>12838</v>
      </c>
      <c r="E19" s="235">
        <v>13358</v>
      </c>
      <c r="F19" s="216">
        <f>SUM(F4:F18)</f>
        <v>13417</v>
      </c>
      <c r="G19" s="236">
        <f t="shared" si="0"/>
        <v>4.4168288665967963E-3</v>
      </c>
    </row>
  </sheetData>
  <hyperlinks>
    <hyperlink ref="A1" location="Inhoud!A1" display="Terug naar inhoud" xr:uid="{7732E07C-8BC5-4A64-BD82-8C474CA6D234}"/>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3207-6426-4D82-9BB6-D5863451C212}">
  <dimension ref="A1:G8"/>
  <sheetViews>
    <sheetView zoomScaleNormal="100" workbookViewId="0"/>
  </sheetViews>
  <sheetFormatPr defaultColWidth="9.109375" defaultRowHeight="14.4"/>
  <cols>
    <col min="1" max="1" width="23.109375" style="34" customWidth="1"/>
    <col min="2" max="7" width="15.6640625" style="34" customWidth="1"/>
    <col min="8" max="16384" width="9.109375" style="34"/>
  </cols>
  <sheetData>
    <row r="1" spans="1:7">
      <c r="A1" s="226" t="s">
        <v>87</v>
      </c>
    </row>
    <row r="2" spans="1:7">
      <c r="A2" s="76" t="s">
        <v>291</v>
      </c>
    </row>
    <row r="3" spans="1:7" ht="43.2">
      <c r="A3" s="71"/>
      <c r="B3" s="25" t="s">
        <v>191</v>
      </c>
      <c r="C3" s="25" t="s">
        <v>192</v>
      </c>
      <c r="D3" s="25" t="s">
        <v>193</v>
      </c>
      <c r="E3" s="25" t="s">
        <v>194</v>
      </c>
      <c r="F3" s="25" t="s">
        <v>195</v>
      </c>
      <c r="G3" s="25" t="s">
        <v>196</v>
      </c>
    </row>
    <row r="4" spans="1:7">
      <c r="A4" s="80" t="s">
        <v>292</v>
      </c>
      <c r="B4" s="23">
        <v>102</v>
      </c>
      <c r="C4" s="23">
        <v>153</v>
      </c>
      <c r="D4" s="23">
        <v>113</v>
      </c>
      <c r="E4" s="260">
        <v>112</v>
      </c>
      <c r="F4" s="260">
        <v>124</v>
      </c>
      <c r="G4" s="78">
        <f>SUM(F4-E4)/E4</f>
        <v>0.10714285714285714</v>
      </c>
    </row>
    <row r="5" spans="1:7">
      <c r="A5" s="80" t="s">
        <v>293</v>
      </c>
      <c r="B5" s="23">
        <v>40</v>
      </c>
      <c r="C5" s="23">
        <v>68</v>
      </c>
      <c r="D5" s="23">
        <v>62</v>
      </c>
      <c r="E5" s="261">
        <v>61</v>
      </c>
      <c r="F5" s="261">
        <v>62</v>
      </c>
      <c r="G5" s="78">
        <f t="shared" ref="G5:G8" si="0">SUM(F5-E5)/E5</f>
        <v>1.6393442622950821E-2</v>
      </c>
    </row>
    <row r="6" spans="1:7">
      <c r="A6" s="80" t="s">
        <v>294</v>
      </c>
      <c r="B6" s="43">
        <v>2756</v>
      </c>
      <c r="C6" s="43">
        <v>3111</v>
      </c>
      <c r="D6" s="43">
        <v>2625</v>
      </c>
      <c r="E6" s="262">
        <v>3039</v>
      </c>
      <c r="F6" s="262">
        <v>3762</v>
      </c>
      <c r="G6" s="78">
        <f t="shared" si="0"/>
        <v>0.23790720631786771</v>
      </c>
    </row>
    <row r="7" spans="1:7" ht="29.25" customHeight="1">
      <c r="A7" s="80" t="s">
        <v>295</v>
      </c>
      <c r="B7" s="23">
        <v>447</v>
      </c>
      <c r="C7" s="23">
        <v>487</v>
      </c>
      <c r="D7" s="23">
        <v>333</v>
      </c>
      <c r="E7" s="261">
        <v>266</v>
      </c>
      <c r="F7" s="261">
        <v>406</v>
      </c>
      <c r="G7" s="78">
        <f t="shared" si="0"/>
        <v>0.52631578947368418</v>
      </c>
    </row>
    <row r="8" spans="1:7">
      <c r="A8" s="80" t="s">
        <v>296</v>
      </c>
      <c r="B8" s="43">
        <v>1796</v>
      </c>
      <c r="C8" s="43">
        <v>1996</v>
      </c>
      <c r="D8" s="43">
        <v>1682</v>
      </c>
      <c r="E8" s="261">
        <v>978</v>
      </c>
      <c r="F8" s="261">
        <v>941</v>
      </c>
      <c r="G8" s="78">
        <f t="shared" si="0"/>
        <v>-3.7832310838445807E-2</v>
      </c>
    </row>
  </sheetData>
  <hyperlinks>
    <hyperlink ref="A1" location="Inhoud!A1" display="Terug naar inhoud" xr:uid="{BD96DE5E-1458-469A-9E92-5E69A6B399C6}"/>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AE9A-9A93-4256-A762-E48D9C72BC11}">
  <dimension ref="A1:H57"/>
  <sheetViews>
    <sheetView workbookViewId="0"/>
  </sheetViews>
  <sheetFormatPr defaultColWidth="9.109375" defaultRowHeight="14.4"/>
  <cols>
    <col min="1" max="1" width="19.33203125" style="2" customWidth="1"/>
    <col min="2" max="3" width="7.88671875" style="2" bestFit="1" customWidth="1"/>
    <col min="4" max="4" width="8.6640625" style="2" bestFit="1" customWidth="1"/>
    <col min="5" max="5" width="7.88671875" style="2" bestFit="1" customWidth="1"/>
    <col min="6" max="6" width="12.44140625" style="2" customWidth="1"/>
    <col min="7" max="7" width="10.88671875" style="2" bestFit="1" customWidth="1"/>
    <col min="8" max="8" width="8.6640625" style="2" bestFit="1" customWidth="1"/>
    <col min="9" max="16384" width="9.109375" style="2"/>
  </cols>
  <sheetData>
    <row r="1" spans="1:8">
      <c r="A1" s="226" t="s">
        <v>87</v>
      </c>
    </row>
    <row r="2" spans="1:8">
      <c r="A2" s="3" t="s">
        <v>297</v>
      </c>
    </row>
    <row r="3" spans="1:8" ht="28.8">
      <c r="A3" s="42"/>
      <c r="B3" s="25" t="s">
        <v>298</v>
      </c>
      <c r="C3" s="25" t="s">
        <v>299</v>
      </c>
      <c r="D3" s="25" t="s">
        <v>300</v>
      </c>
      <c r="E3" s="25" t="s">
        <v>137</v>
      </c>
      <c r="F3" s="25" t="s">
        <v>301</v>
      </c>
      <c r="G3" s="25" t="s">
        <v>302</v>
      </c>
      <c r="H3" s="25" t="s">
        <v>303</v>
      </c>
    </row>
    <row r="4" spans="1:8">
      <c r="A4" s="42" t="s">
        <v>131</v>
      </c>
      <c r="B4" s="159">
        <v>981</v>
      </c>
      <c r="C4" s="43">
        <v>3582</v>
      </c>
      <c r="D4" s="43">
        <v>1324</v>
      </c>
      <c r="E4" s="160">
        <v>5</v>
      </c>
      <c r="F4" s="161">
        <f>SUM(B4:E4)</f>
        <v>5892</v>
      </c>
      <c r="G4" s="161">
        <v>7218</v>
      </c>
      <c r="H4" s="45">
        <f>(F4-G4)/F4</f>
        <v>-0.225050916496945</v>
      </c>
    </row>
    <row r="5" spans="1:8">
      <c r="A5" s="42" t="s">
        <v>136</v>
      </c>
      <c r="B5" s="161">
        <v>1122</v>
      </c>
      <c r="C5" s="161">
        <v>3553</v>
      </c>
      <c r="D5" s="161">
        <v>383</v>
      </c>
      <c r="E5" s="162">
        <v>1</v>
      </c>
      <c r="F5" s="161">
        <f>SUM(B5:E5)</f>
        <v>5059</v>
      </c>
      <c r="G5" s="161">
        <v>10098</v>
      </c>
      <c r="H5" s="45">
        <f t="shared" ref="H5:H9" si="0">(F5-G5)/F5</f>
        <v>-0.99604664953548128</v>
      </c>
    </row>
    <row r="6" spans="1:8">
      <c r="A6" s="42" t="s">
        <v>135</v>
      </c>
      <c r="B6" s="161">
        <v>31</v>
      </c>
      <c r="C6" s="163">
        <v>20</v>
      </c>
      <c r="D6" s="161">
        <v>440</v>
      </c>
      <c r="E6" s="160">
        <v>4</v>
      </c>
      <c r="F6" s="161">
        <f>SUM(B6:E6)</f>
        <v>495</v>
      </c>
      <c r="G6" s="161">
        <v>1011</v>
      </c>
      <c r="H6" s="45">
        <f t="shared" si="0"/>
        <v>-1.0424242424242425</v>
      </c>
    </row>
    <row r="7" spans="1:8">
      <c r="A7" s="42" t="s">
        <v>134</v>
      </c>
      <c r="B7" s="161">
        <v>24</v>
      </c>
      <c r="C7" s="161">
        <v>180</v>
      </c>
      <c r="D7" s="161">
        <v>11</v>
      </c>
      <c r="E7" s="160">
        <v>7</v>
      </c>
      <c r="F7" s="161">
        <f>SUM(B7:E7)</f>
        <v>222</v>
      </c>
      <c r="G7" s="161">
        <v>274</v>
      </c>
      <c r="H7" s="45">
        <f t="shared" si="0"/>
        <v>-0.23423423423423423</v>
      </c>
    </row>
    <row r="8" spans="1:8">
      <c r="A8" s="42" t="s">
        <v>304</v>
      </c>
      <c r="B8" s="43">
        <v>34</v>
      </c>
      <c r="C8" s="43">
        <v>13</v>
      </c>
      <c r="D8" s="43">
        <v>1</v>
      </c>
      <c r="E8" s="43">
        <v>0</v>
      </c>
      <c r="F8" s="161">
        <f>SUM(B8:E8)</f>
        <v>48</v>
      </c>
      <c r="G8" s="161">
        <v>88</v>
      </c>
      <c r="H8" s="45">
        <f t="shared" si="0"/>
        <v>-0.83333333333333337</v>
      </c>
    </row>
    <row r="9" spans="1:8">
      <c r="A9" s="20" t="s">
        <v>305</v>
      </c>
      <c r="B9" s="44">
        <f t="shared" ref="B9:G9" si="1">SUM(B4:B8)</f>
        <v>2192</v>
      </c>
      <c r="C9" s="44">
        <f t="shared" si="1"/>
        <v>7348</v>
      </c>
      <c r="D9" s="44">
        <f t="shared" si="1"/>
        <v>2159</v>
      </c>
      <c r="E9" s="44">
        <f t="shared" si="1"/>
        <v>17</v>
      </c>
      <c r="F9" s="44">
        <f t="shared" si="1"/>
        <v>11716</v>
      </c>
      <c r="G9" s="44">
        <f t="shared" si="1"/>
        <v>18689</v>
      </c>
      <c r="H9" s="45">
        <f t="shared" si="0"/>
        <v>-0.5951689996585865</v>
      </c>
    </row>
    <row r="10" spans="1:8">
      <c r="A10" s="42" t="s">
        <v>306</v>
      </c>
      <c r="B10" s="44">
        <v>3716</v>
      </c>
      <c r="C10" s="44">
        <v>11630</v>
      </c>
      <c r="D10" s="44">
        <v>3316</v>
      </c>
      <c r="E10" s="25">
        <v>27</v>
      </c>
      <c r="F10" s="44">
        <v>18689</v>
      </c>
      <c r="G10" s="46"/>
      <c r="H10" s="47"/>
    </row>
    <row r="11" spans="1:8">
      <c r="A11" s="42" t="s">
        <v>307</v>
      </c>
      <c r="B11" s="45">
        <f>(B9-B10)/B9</f>
        <v>-0.69525547445255476</v>
      </c>
      <c r="C11" s="45">
        <f t="shared" ref="C11:F11" si="2">(C9-C10)/C9</f>
        <v>-0.58274360370168754</v>
      </c>
      <c r="D11" s="45">
        <f t="shared" si="2"/>
        <v>-0.5358962482630848</v>
      </c>
      <c r="E11" s="45">
        <f t="shared" si="2"/>
        <v>-0.58823529411764708</v>
      </c>
      <c r="F11" s="45">
        <f t="shared" si="2"/>
        <v>-0.5951689996585865</v>
      </c>
      <c r="G11" s="48"/>
      <c r="H11" s="49"/>
    </row>
    <row r="12" spans="1:8">
      <c r="A12" s="141" t="s">
        <v>308</v>
      </c>
      <c r="B12" s="140"/>
      <c r="C12" s="140"/>
      <c r="D12" s="140"/>
      <c r="E12" s="140"/>
      <c r="F12" s="140"/>
      <c r="G12" s="46"/>
      <c r="H12" s="46"/>
    </row>
    <row r="13" spans="1:8">
      <c r="A13" s="3"/>
    </row>
    <row r="14" spans="1:8">
      <c r="A14" s="117">
        <v>2021</v>
      </c>
    </row>
    <row r="15" spans="1:8" ht="48.75" customHeight="1">
      <c r="A15" s="42"/>
      <c r="B15" s="25" t="s">
        <v>298</v>
      </c>
      <c r="C15" s="25" t="s">
        <v>299</v>
      </c>
      <c r="D15" s="25" t="s">
        <v>300</v>
      </c>
      <c r="E15" s="25" t="s">
        <v>137</v>
      </c>
      <c r="F15" s="25" t="s">
        <v>309</v>
      </c>
      <c r="G15" s="25" t="s">
        <v>310</v>
      </c>
      <c r="H15" s="25" t="s">
        <v>303</v>
      </c>
    </row>
    <row r="16" spans="1:8">
      <c r="A16" s="42" t="s">
        <v>131</v>
      </c>
      <c r="B16" s="159">
        <v>1312</v>
      </c>
      <c r="C16" s="43">
        <v>4235</v>
      </c>
      <c r="D16" s="43">
        <v>1667</v>
      </c>
      <c r="E16" s="160">
        <v>4</v>
      </c>
      <c r="F16" s="161">
        <v>7218</v>
      </c>
      <c r="G16" s="43">
        <v>5638</v>
      </c>
      <c r="H16" s="45">
        <v>0.2802</v>
      </c>
    </row>
    <row r="17" spans="1:8">
      <c r="A17" s="42" t="s">
        <v>136</v>
      </c>
      <c r="B17" s="161">
        <v>2228</v>
      </c>
      <c r="C17" s="161">
        <v>7137</v>
      </c>
      <c r="D17" s="161">
        <v>728</v>
      </c>
      <c r="E17" s="162">
        <v>5</v>
      </c>
      <c r="F17" s="161">
        <v>10098</v>
      </c>
      <c r="G17" s="43">
        <v>5595</v>
      </c>
      <c r="H17" s="45">
        <v>0.80479999999999996</v>
      </c>
    </row>
    <row r="18" spans="1:8">
      <c r="A18" s="42" t="s">
        <v>135</v>
      </c>
      <c r="B18" s="161">
        <v>74</v>
      </c>
      <c r="C18" s="163">
        <v>25</v>
      </c>
      <c r="D18" s="161">
        <v>904</v>
      </c>
      <c r="E18" s="160">
        <v>8</v>
      </c>
      <c r="F18" s="161">
        <v>1011</v>
      </c>
      <c r="G18" s="43">
        <v>725</v>
      </c>
      <c r="H18" s="45">
        <v>0.39450000000000002</v>
      </c>
    </row>
    <row r="19" spans="1:8">
      <c r="A19" s="42" t="s">
        <v>134</v>
      </c>
      <c r="B19" s="161">
        <v>56</v>
      </c>
      <c r="C19" s="161">
        <v>196</v>
      </c>
      <c r="D19" s="161">
        <v>14</v>
      </c>
      <c r="E19" s="160">
        <v>8</v>
      </c>
      <c r="F19" s="161">
        <v>274</v>
      </c>
      <c r="G19" s="43">
        <v>261</v>
      </c>
      <c r="H19" s="45">
        <v>4.9799999999999997E-2</v>
      </c>
    </row>
    <row r="20" spans="1:8">
      <c r="A20" s="42" t="s">
        <v>304</v>
      </c>
      <c r="B20" s="43">
        <v>46</v>
      </c>
      <c r="C20" s="43">
        <v>37</v>
      </c>
      <c r="D20" s="43">
        <v>3</v>
      </c>
      <c r="E20" s="43">
        <v>2</v>
      </c>
      <c r="F20" s="161">
        <v>88</v>
      </c>
      <c r="G20" s="43">
        <v>58</v>
      </c>
      <c r="H20" s="45">
        <v>0.51719999999999999</v>
      </c>
    </row>
    <row r="21" spans="1:8">
      <c r="A21" s="20" t="s">
        <v>306</v>
      </c>
      <c r="B21" s="44">
        <f>SUM(B16:B20)</f>
        <v>3716</v>
      </c>
      <c r="C21" s="44">
        <f>SUM(C16:C20)</f>
        <v>11630</v>
      </c>
      <c r="D21" s="44">
        <f>SUM(D16:D20)</f>
        <v>3316</v>
      </c>
      <c r="E21" s="25">
        <f>SUM(E16:E20)</f>
        <v>27</v>
      </c>
      <c r="F21" s="44">
        <f>SUM(F16:F20)</f>
        <v>18689</v>
      </c>
      <c r="G21" s="44">
        <v>12277</v>
      </c>
      <c r="H21" s="45">
        <v>0.52229999999999999</v>
      </c>
    </row>
    <row r="22" spans="1:8">
      <c r="A22" s="42" t="s">
        <v>311</v>
      </c>
      <c r="B22" s="44">
        <v>2571</v>
      </c>
      <c r="C22" s="44">
        <v>7257</v>
      </c>
      <c r="D22" s="44">
        <v>2428</v>
      </c>
      <c r="E22" s="25">
        <v>21</v>
      </c>
      <c r="F22" s="44">
        <v>12277</v>
      </c>
      <c r="G22" s="46"/>
      <c r="H22" s="47"/>
    </row>
    <row r="23" spans="1:8">
      <c r="A23" s="42" t="s">
        <v>307</v>
      </c>
      <c r="B23" s="45">
        <v>0.44540000000000002</v>
      </c>
      <c r="C23" s="45">
        <v>0.60260000000000002</v>
      </c>
      <c r="D23" s="45">
        <v>0.36570000000000003</v>
      </c>
      <c r="E23" s="45">
        <v>0.28570000000000001</v>
      </c>
      <c r="F23" s="45">
        <v>0.52229999999999999</v>
      </c>
      <c r="G23" s="48"/>
      <c r="H23" s="49"/>
    </row>
    <row r="24" spans="1:8">
      <c r="A24" s="141" t="s">
        <v>308</v>
      </c>
      <c r="B24" s="140"/>
      <c r="C24" s="140"/>
      <c r="D24" s="140"/>
      <c r="E24" s="140"/>
      <c r="F24" s="140"/>
      <c r="G24" s="46"/>
      <c r="H24" s="46"/>
    </row>
    <row r="25" spans="1:8">
      <c r="A25" s="3"/>
    </row>
    <row r="26" spans="1:8">
      <c r="A26" s="117">
        <v>2020</v>
      </c>
    </row>
    <row r="27" spans="1:8" ht="30" customHeight="1">
      <c r="A27" s="42"/>
      <c r="B27" s="25" t="s">
        <v>298</v>
      </c>
      <c r="C27" s="25" t="s">
        <v>299</v>
      </c>
      <c r="D27" s="25" t="s">
        <v>300</v>
      </c>
      <c r="E27" s="25" t="s">
        <v>137</v>
      </c>
      <c r="F27" s="25" t="s">
        <v>312</v>
      </c>
      <c r="G27" s="25" t="s">
        <v>313</v>
      </c>
      <c r="H27" s="25" t="s">
        <v>303</v>
      </c>
    </row>
    <row r="28" spans="1:8">
      <c r="A28" s="42" t="s">
        <v>131</v>
      </c>
      <c r="B28" s="43">
        <v>1066</v>
      </c>
      <c r="C28" s="43">
        <v>3279</v>
      </c>
      <c r="D28" s="43">
        <v>1349</v>
      </c>
      <c r="E28" s="23">
        <v>4</v>
      </c>
      <c r="F28" s="43">
        <v>5638</v>
      </c>
      <c r="G28" s="44">
        <v>4274</v>
      </c>
      <c r="H28" s="45">
        <v>0.31909999999999999</v>
      </c>
    </row>
    <row r="29" spans="1:8">
      <c r="A29" s="42" t="s">
        <v>136</v>
      </c>
      <c r="B29" s="43">
        <v>1411</v>
      </c>
      <c r="C29" s="43">
        <v>3743</v>
      </c>
      <c r="D29" s="23">
        <v>437</v>
      </c>
      <c r="E29" s="23">
        <v>4</v>
      </c>
      <c r="F29" s="43">
        <v>5595</v>
      </c>
      <c r="G29" s="44">
        <v>5422</v>
      </c>
      <c r="H29" s="45">
        <v>3.1899999999999998E-2</v>
      </c>
    </row>
    <row r="30" spans="1:8">
      <c r="A30" s="42" t="s">
        <v>135</v>
      </c>
      <c r="B30" s="23">
        <v>76</v>
      </c>
      <c r="C30" s="23">
        <v>12</v>
      </c>
      <c r="D30" s="23">
        <v>632</v>
      </c>
      <c r="E30" s="23">
        <v>5</v>
      </c>
      <c r="F30" s="23">
        <v>725</v>
      </c>
      <c r="G30" s="25">
        <v>536</v>
      </c>
      <c r="H30" s="45">
        <v>0.35260000000000002</v>
      </c>
    </row>
    <row r="31" spans="1:8">
      <c r="A31" s="42" t="s">
        <v>134</v>
      </c>
      <c r="B31" s="23">
        <v>40</v>
      </c>
      <c r="C31" s="23">
        <v>203</v>
      </c>
      <c r="D31" s="23">
        <v>10</v>
      </c>
      <c r="E31" s="23">
        <v>8</v>
      </c>
      <c r="F31" s="23">
        <v>261</v>
      </c>
      <c r="G31" s="25">
        <v>294</v>
      </c>
      <c r="H31" s="45">
        <v>-0.11219999999999999</v>
      </c>
    </row>
    <row r="32" spans="1:8">
      <c r="A32" s="42" t="s">
        <v>304</v>
      </c>
      <c r="B32" s="23">
        <v>38</v>
      </c>
      <c r="C32" s="23">
        <v>20</v>
      </c>
      <c r="D32" s="23">
        <v>0</v>
      </c>
      <c r="E32" s="23">
        <v>0</v>
      </c>
      <c r="F32" s="23">
        <v>58</v>
      </c>
      <c r="G32" s="25">
        <v>35</v>
      </c>
      <c r="H32" s="45">
        <v>0.65710000000000002</v>
      </c>
    </row>
    <row r="33" spans="1:8">
      <c r="A33" s="20" t="s">
        <v>311</v>
      </c>
      <c r="B33" s="44">
        <v>2571</v>
      </c>
      <c r="C33" s="44">
        <v>7257</v>
      </c>
      <c r="D33" s="44">
        <v>2428</v>
      </c>
      <c r="E33" s="25">
        <v>21</v>
      </c>
      <c r="F33" s="44">
        <v>12277</v>
      </c>
      <c r="G33" s="44">
        <v>10561</v>
      </c>
      <c r="H33" s="45">
        <v>0.16239999999999999</v>
      </c>
    </row>
    <row r="34" spans="1:8">
      <c r="A34" s="42" t="s">
        <v>314</v>
      </c>
      <c r="B34" s="44">
        <v>1929</v>
      </c>
      <c r="C34" s="44">
        <v>6662</v>
      </c>
      <c r="D34" s="44">
        <v>1953</v>
      </c>
      <c r="E34" s="25">
        <v>17</v>
      </c>
      <c r="F34" s="44">
        <v>10561</v>
      </c>
      <c r="G34" s="46"/>
      <c r="H34" s="47"/>
    </row>
    <row r="35" spans="1:8">
      <c r="A35" s="42" t="s">
        <v>307</v>
      </c>
      <c r="B35" s="45">
        <v>0.33279999999999998</v>
      </c>
      <c r="C35" s="45">
        <v>8.9300000000000004E-2</v>
      </c>
      <c r="D35" s="45">
        <v>0.2432</v>
      </c>
      <c r="E35" s="45">
        <v>0.23519999999999999</v>
      </c>
      <c r="F35" s="45">
        <v>0.16239999999999999</v>
      </c>
      <c r="G35" s="48"/>
      <c r="H35" s="49"/>
    </row>
    <row r="37" spans="1:8">
      <c r="A37" s="120">
        <v>2019</v>
      </c>
    </row>
    <row r="38" spans="1:8" ht="28.8">
      <c r="A38" s="42"/>
      <c r="B38" s="25" t="s">
        <v>298</v>
      </c>
      <c r="C38" s="25" t="s">
        <v>299</v>
      </c>
      <c r="D38" s="25" t="s">
        <v>300</v>
      </c>
      <c r="E38" s="25" t="s">
        <v>137</v>
      </c>
      <c r="F38" s="25" t="s">
        <v>315</v>
      </c>
      <c r="G38" s="25" t="s">
        <v>316</v>
      </c>
      <c r="H38" s="25" t="s">
        <v>307</v>
      </c>
    </row>
    <row r="39" spans="1:8">
      <c r="A39" s="42" t="s">
        <v>131</v>
      </c>
      <c r="B39" s="43">
        <v>740</v>
      </c>
      <c r="C39" s="43">
        <v>2510</v>
      </c>
      <c r="D39" s="43">
        <v>1023</v>
      </c>
      <c r="E39" s="23">
        <v>1</v>
      </c>
      <c r="F39" s="43">
        <v>4274</v>
      </c>
      <c r="G39" s="44">
        <v>6825</v>
      </c>
      <c r="H39" s="45">
        <v>-0.37369999999999998</v>
      </c>
    </row>
    <row r="40" spans="1:8">
      <c r="A40" s="42" t="s">
        <v>136</v>
      </c>
      <c r="B40" s="43">
        <v>1051</v>
      </c>
      <c r="C40" s="43">
        <v>3926</v>
      </c>
      <c r="D40" s="23">
        <v>442</v>
      </c>
      <c r="E40" s="23">
        <v>3</v>
      </c>
      <c r="F40" s="43">
        <v>5422</v>
      </c>
      <c r="G40" s="44">
        <v>7603</v>
      </c>
      <c r="H40" s="45">
        <v>-0.2868</v>
      </c>
    </row>
    <row r="41" spans="1:8">
      <c r="A41" s="42" t="s">
        <v>135</v>
      </c>
      <c r="B41" s="23">
        <v>57</v>
      </c>
      <c r="C41" s="23">
        <v>7</v>
      </c>
      <c r="D41" s="23">
        <v>466</v>
      </c>
      <c r="E41" s="23">
        <v>6</v>
      </c>
      <c r="F41" s="23">
        <v>536</v>
      </c>
      <c r="G41" s="25">
        <v>765</v>
      </c>
      <c r="H41" s="45">
        <v>-0.29930000000000001</v>
      </c>
    </row>
    <row r="42" spans="1:8">
      <c r="A42" s="42" t="s">
        <v>134</v>
      </c>
      <c r="B42" s="23">
        <v>62</v>
      </c>
      <c r="C42" s="23">
        <v>204</v>
      </c>
      <c r="D42" s="23">
        <v>21</v>
      </c>
      <c r="E42" s="23">
        <v>7</v>
      </c>
      <c r="F42" s="23">
        <v>294</v>
      </c>
      <c r="G42" s="25">
        <v>204</v>
      </c>
      <c r="H42" s="45">
        <v>0.44109999999999999</v>
      </c>
    </row>
    <row r="43" spans="1:8">
      <c r="A43" s="42" t="s">
        <v>304</v>
      </c>
      <c r="B43" s="23">
        <v>19</v>
      </c>
      <c r="C43" s="23">
        <v>15</v>
      </c>
      <c r="D43" s="23">
        <v>1</v>
      </c>
      <c r="E43" s="23">
        <v>0</v>
      </c>
      <c r="F43" s="23">
        <v>35</v>
      </c>
      <c r="G43" s="25">
        <v>65</v>
      </c>
      <c r="H43" s="45">
        <v>-0.46150000000000002</v>
      </c>
    </row>
    <row r="44" spans="1:8">
      <c r="A44" s="20" t="s">
        <v>315</v>
      </c>
      <c r="B44" s="44">
        <v>1929</v>
      </c>
      <c r="C44" s="44">
        <v>6662</v>
      </c>
      <c r="D44" s="44">
        <v>1953</v>
      </c>
      <c r="E44" s="25">
        <v>17</v>
      </c>
      <c r="F44" s="44">
        <v>10561</v>
      </c>
      <c r="G44" s="44">
        <v>15462</v>
      </c>
      <c r="H44" s="45">
        <v>-0.31690000000000002</v>
      </c>
    </row>
    <row r="45" spans="1:8">
      <c r="A45" s="42" t="s">
        <v>317</v>
      </c>
      <c r="B45" s="44">
        <v>2959</v>
      </c>
      <c r="C45" s="44">
        <v>9468</v>
      </c>
      <c r="D45" s="44">
        <v>3020</v>
      </c>
      <c r="E45" s="25">
        <v>15</v>
      </c>
      <c r="F45" s="44">
        <v>15462</v>
      </c>
      <c r="G45" s="46"/>
      <c r="H45" s="47"/>
    </row>
    <row r="46" spans="1:8">
      <c r="A46" s="42" t="s">
        <v>307</v>
      </c>
      <c r="B46" s="45">
        <v>-0.34799999999999998</v>
      </c>
      <c r="C46" s="45">
        <v>-0.29630000000000001</v>
      </c>
      <c r="D46" s="45">
        <v>-0.3533</v>
      </c>
      <c r="E46" s="45">
        <v>0.1333</v>
      </c>
      <c r="F46" s="45">
        <v>-0.31690000000000002</v>
      </c>
      <c r="G46" s="48"/>
      <c r="H46" s="49"/>
    </row>
    <row r="48" spans="1:8">
      <c r="A48" s="120">
        <v>2018</v>
      </c>
    </row>
    <row r="49" spans="1:8" ht="28.8">
      <c r="A49" s="42"/>
      <c r="B49" s="25" t="s">
        <v>298</v>
      </c>
      <c r="C49" s="25" t="s">
        <v>299</v>
      </c>
      <c r="D49" s="25" t="s">
        <v>300</v>
      </c>
      <c r="E49" s="25" t="s">
        <v>137</v>
      </c>
      <c r="F49" s="25" t="s">
        <v>318</v>
      </c>
      <c r="G49" s="25" t="s">
        <v>319</v>
      </c>
      <c r="H49" s="25" t="s">
        <v>307</v>
      </c>
    </row>
    <row r="50" spans="1:8">
      <c r="A50" s="42" t="s">
        <v>131</v>
      </c>
      <c r="B50" s="43">
        <v>881</v>
      </c>
      <c r="C50" s="43">
        <v>2231</v>
      </c>
      <c r="D50" s="43">
        <v>905</v>
      </c>
      <c r="E50" s="23">
        <v>0</v>
      </c>
      <c r="F50" s="43">
        <v>4017</v>
      </c>
      <c r="G50" s="44">
        <v>4327</v>
      </c>
      <c r="H50" s="45">
        <v>-7.1599999999999997E-2</v>
      </c>
    </row>
    <row r="51" spans="1:8">
      <c r="A51" s="42" t="s">
        <v>136</v>
      </c>
      <c r="B51" s="43">
        <v>984</v>
      </c>
      <c r="C51" s="43">
        <v>2899</v>
      </c>
      <c r="D51" s="23">
        <v>481</v>
      </c>
      <c r="E51" s="23">
        <v>0</v>
      </c>
      <c r="F51" s="43">
        <v>4364</v>
      </c>
      <c r="G51" s="44">
        <v>4715</v>
      </c>
      <c r="H51" s="45">
        <v>-7.4399999999999994E-2</v>
      </c>
    </row>
    <row r="52" spans="1:8">
      <c r="A52" s="42" t="s">
        <v>135</v>
      </c>
      <c r="B52" s="23">
        <v>42</v>
      </c>
      <c r="C52" s="23">
        <v>0</v>
      </c>
      <c r="D52" s="23">
        <v>431</v>
      </c>
      <c r="E52" s="23">
        <v>3</v>
      </c>
      <c r="F52" s="23">
        <v>476</v>
      </c>
      <c r="G52" s="25">
        <v>490</v>
      </c>
      <c r="H52" s="45">
        <v>-2.8500000000000001E-2</v>
      </c>
    </row>
    <row r="53" spans="1:8">
      <c r="A53" s="42" t="s">
        <v>134</v>
      </c>
      <c r="B53" s="23">
        <v>27</v>
      </c>
      <c r="C53" s="23">
        <v>112</v>
      </c>
      <c r="D53" s="23">
        <v>2</v>
      </c>
      <c r="E53" s="23">
        <v>9</v>
      </c>
      <c r="F53" s="23">
        <v>150</v>
      </c>
      <c r="G53" s="25">
        <v>134</v>
      </c>
      <c r="H53" s="45">
        <v>0.11940000000000001</v>
      </c>
    </row>
    <row r="54" spans="1:8">
      <c r="A54" s="42" t="s">
        <v>304</v>
      </c>
      <c r="B54" s="23">
        <v>21</v>
      </c>
      <c r="C54" s="23">
        <v>19</v>
      </c>
      <c r="D54" s="23">
        <v>0</v>
      </c>
      <c r="E54" s="23">
        <v>0</v>
      </c>
      <c r="F54" s="23">
        <v>40</v>
      </c>
      <c r="G54" s="25">
        <v>56</v>
      </c>
      <c r="H54" s="45">
        <v>-0.28570000000000001</v>
      </c>
    </row>
    <row r="55" spans="1:8">
      <c r="A55" s="20" t="s">
        <v>318</v>
      </c>
      <c r="B55" s="44">
        <v>1955</v>
      </c>
      <c r="C55" s="44">
        <v>5261</v>
      </c>
      <c r="D55" s="44">
        <v>1819</v>
      </c>
      <c r="E55" s="25">
        <v>12</v>
      </c>
      <c r="F55" s="44">
        <v>9047</v>
      </c>
      <c r="G55" s="44">
        <v>9722</v>
      </c>
      <c r="H55" s="45">
        <v>-6.9400000000000003E-2</v>
      </c>
    </row>
    <row r="56" spans="1:8">
      <c r="A56" s="42" t="s">
        <v>319</v>
      </c>
      <c r="B56" s="44">
        <v>2004</v>
      </c>
      <c r="C56" s="44">
        <v>5738</v>
      </c>
      <c r="D56" s="44">
        <v>1956</v>
      </c>
      <c r="E56" s="25">
        <v>24</v>
      </c>
      <c r="F56" s="44">
        <v>9722</v>
      </c>
      <c r="G56" s="46"/>
      <c r="H56" s="47"/>
    </row>
    <row r="57" spans="1:8">
      <c r="A57" s="42" t="s">
        <v>307</v>
      </c>
      <c r="B57" s="45">
        <v>-2.4400000000000002E-2</v>
      </c>
      <c r="C57" s="45">
        <v>-8.3099999999999993E-2</v>
      </c>
      <c r="D57" s="45">
        <v>-7.0000000000000007E-2</v>
      </c>
      <c r="E57" s="45">
        <v>-0.5</v>
      </c>
      <c r="F57" s="45">
        <v>-6.9400000000000003E-2</v>
      </c>
      <c r="G57" s="48"/>
      <c r="H57" s="49"/>
    </row>
  </sheetData>
  <hyperlinks>
    <hyperlink ref="A1" location="Inhoud!A1" display="Terug naar inhoud" xr:uid="{2D013461-2DA3-4F2A-980F-311F81F3ABF3}"/>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FF83-B2D1-40CF-9A49-C679D83E3378}">
  <dimension ref="A1:H66"/>
  <sheetViews>
    <sheetView workbookViewId="0">
      <selection activeCell="G12" sqref="G12"/>
    </sheetView>
  </sheetViews>
  <sheetFormatPr defaultColWidth="9.109375" defaultRowHeight="14.4"/>
  <cols>
    <col min="1" max="1" width="23.109375" style="34" customWidth="1"/>
    <col min="2" max="3" width="10.6640625" style="34" customWidth="1"/>
    <col min="4" max="4" width="14.88671875" style="34" customWidth="1"/>
    <col min="5" max="6" width="10.6640625" style="34" customWidth="1"/>
    <col min="7" max="7" width="14" style="34" customWidth="1"/>
    <col min="8" max="16384" width="9.109375" style="34"/>
  </cols>
  <sheetData>
    <row r="1" spans="1:7">
      <c r="A1" s="226" t="s">
        <v>87</v>
      </c>
    </row>
    <row r="2" spans="1:7">
      <c r="A2" s="3" t="s">
        <v>320</v>
      </c>
    </row>
    <row r="3" spans="1:7">
      <c r="A3" s="117">
        <v>2022</v>
      </c>
    </row>
    <row r="4" spans="1:7">
      <c r="A4" s="313"/>
      <c r="B4" s="314" t="s">
        <v>321</v>
      </c>
      <c r="C4" s="314"/>
      <c r="D4" s="314"/>
      <c r="E4" s="314" t="s">
        <v>322</v>
      </c>
      <c r="F4" s="314"/>
      <c r="G4" s="314"/>
    </row>
    <row r="5" spans="1:7" ht="43.2">
      <c r="A5" s="313"/>
      <c r="B5" s="70" t="s">
        <v>131</v>
      </c>
      <c r="C5" s="71" t="s">
        <v>136</v>
      </c>
      <c r="D5" s="71" t="s">
        <v>323</v>
      </c>
      <c r="E5" s="70" t="s">
        <v>131</v>
      </c>
      <c r="F5" s="71" t="s">
        <v>136</v>
      </c>
      <c r="G5" s="71" t="s">
        <v>323</v>
      </c>
    </row>
    <row r="6" spans="1:7">
      <c r="A6" s="32" t="s">
        <v>324</v>
      </c>
      <c r="B6" s="23">
        <f>819+1</f>
        <v>820</v>
      </c>
      <c r="C6" s="23">
        <f>865+3</f>
        <v>868</v>
      </c>
      <c r="D6" s="23">
        <f>28</f>
        <v>28</v>
      </c>
      <c r="E6" s="23">
        <f>300.85+1</f>
        <v>301.85000000000002</v>
      </c>
      <c r="F6" s="23">
        <f>328.76+1.25</f>
        <v>330.01</v>
      </c>
      <c r="G6" s="23">
        <f>2.76</f>
        <v>2.76</v>
      </c>
    </row>
    <row r="7" spans="1:7">
      <c r="A7" s="32" t="s">
        <v>325</v>
      </c>
      <c r="B7" s="43">
        <f>1493+30</f>
        <v>1523</v>
      </c>
      <c r="C7" s="43">
        <f>2206+172</f>
        <v>2378</v>
      </c>
      <c r="D7" s="23">
        <f>9</f>
        <v>9</v>
      </c>
      <c r="E7" s="23">
        <f>570.69+19.07</f>
        <v>589.7600000000001</v>
      </c>
      <c r="F7" s="23">
        <f>935.51+109.46</f>
        <v>1044.97</v>
      </c>
      <c r="G7" s="23">
        <v>1.61</v>
      </c>
    </row>
    <row r="8" spans="1:7">
      <c r="A8" s="32" t="s">
        <v>326</v>
      </c>
      <c r="B8" s="23">
        <f>791+6</f>
        <v>797</v>
      </c>
      <c r="C8" s="23">
        <f>272+5</f>
        <v>277</v>
      </c>
      <c r="D8" s="23">
        <f>517</f>
        <v>517</v>
      </c>
      <c r="E8" s="23">
        <f>226.79+3.94</f>
        <v>230.73</v>
      </c>
      <c r="F8" s="23">
        <f>98.11+2.22</f>
        <v>100.33</v>
      </c>
      <c r="G8" s="23">
        <v>102.82</v>
      </c>
    </row>
    <row r="9" spans="1:7">
      <c r="A9" s="32" t="s">
        <v>177</v>
      </c>
      <c r="B9" s="23">
        <f>18+0</f>
        <v>18</v>
      </c>
      <c r="C9" s="23">
        <f>28+0</f>
        <v>28</v>
      </c>
      <c r="D9" s="23">
        <f>7</f>
        <v>7</v>
      </c>
      <c r="E9" s="23">
        <f>16.93</f>
        <v>16.93</v>
      </c>
      <c r="F9" s="23">
        <f>24.28</f>
        <v>24.28</v>
      </c>
      <c r="G9" s="23">
        <v>1.63</v>
      </c>
    </row>
    <row r="10" spans="1:7">
      <c r="A10" s="30" t="s">
        <v>114</v>
      </c>
      <c r="B10" s="73">
        <f t="shared" ref="B10:G10" si="0">SUM(B6:B9)</f>
        <v>3158</v>
      </c>
      <c r="C10" s="73">
        <f t="shared" si="0"/>
        <v>3551</v>
      </c>
      <c r="D10" s="31">
        <f t="shared" si="0"/>
        <v>561</v>
      </c>
      <c r="E10" s="74">
        <f t="shared" si="0"/>
        <v>1139.2700000000002</v>
      </c>
      <c r="F10" s="74">
        <f t="shared" si="0"/>
        <v>1499.59</v>
      </c>
      <c r="G10" s="31">
        <f t="shared" si="0"/>
        <v>108.82</v>
      </c>
    </row>
    <row r="11" spans="1:7">
      <c r="A11" s="30" t="s">
        <v>327</v>
      </c>
      <c r="B11" s="315"/>
      <c r="C11" s="315"/>
      <c r="D11" s="73">
        <f>B10+C10+D10</f>
        <v>7270</v>
      </c>
      <c r="E11" s="316"/>
      <c r="F11" s="316"/>
      <c r="G11" s="74">
        <f>E10+F10+G10</f>
        <v>2747.6800000000003</v>
      </c>
    </row>
    <row r="12" spans="1:7">
      <c r="A12" s="30" t="s">
        <v>328</v>
      </c>
      <c r="B12" s="315"/>
      <c r="C12" s="315"/>
      <c r="D12" s="73">
        <f>D24</f>
        <v>6662</v>
      </c>
      <c r="E12" s="316"/>
      <c r="F12" s="316"/>
      <c r="G12" s="74">
        <f>G24</f>
        <v>2702.1499999999996</v>
      </c>
    </row>
    <row r="13" spans="1:7">
      <c r="A13" s="20" t="s">
        <v>307</v>
      </c>
      <c r="B13" s="315"/>
      <c r="C13" s="315"/>
      <c r="D13" s="75">
        <f>(D11/D12)-100%</f>
        <v>9.1263884719303467E-2</v>
      </c>
      <c r="E13" s="316"/>
      <c r="F13" s="316"/>
      <c r="G13" s="75">
        <f>(G11/G12)-100%</f>
        <v>1.6849545732102511E-2</v>
      </c>
    </row>
    <row r="14" spans="1:7">
      <c r="A14" s="132" t="s">
        <v>329</v>
      </c>
      <c r="B14" s="142"/>
      <c r="C14" s="142"/>
      <c r="D14" s="143"/>
      <c r="E14" s="144"/>
      <c r="F14" s="144"/>
      <c r="G14" s="143"/>
    </row>
    <row r="16" spans="1:7">
      <c r="A16" s="117">
        <v>2021</v>
      </c>
    </row>
    <row r="17" spans="1:8">
      <c r="A17" s="313"/>
      <c r="B17" s="314" t="s">
        <v>321</v>
      </c>
      <c r="C17" s="314"/>
      <c r="D17" s="314"/>
      <c r="E17" s="314" t="s">
        <v>322</v>
      </c>
      <c r="F17" s="314"/>
      <c r="G17" s="314"/>
    </row>
    <row r="18" spans="1:8" ht="43.2">
      <c r="A18" s="313"/>
      <c r="B18" s="70" t="s">
        <v>131</v>
      </c>
      <c r="C18" s="71" t="s">
        <v>136</v>
      </c>
      <c r="D18" s="71" t="s">
        <v>323</v>
      </c>
      <c r="E18" s="70" t="s">
        <v>131</v>
      </c>
      <c r="F18" s="71" t="s">
        <v>136</v>
      </c>
      <c r="G18" s="71" t="s">
        <v>323</v>
      </c>
    </row>
    <row r="19" spans="1:8">
      <c r="A19" s="32" t="s">
        <v>324</v>
      </c>
      <c r="B19" s="23">
        <v>781</v>
      </c>
      <c r="C19" s="23">
        <v>802</v>
      </c>
      <c r="D19" s="23">
        <v>12</v>
      </c>
      <c r="E19" s="23">
        <v>305.11</v>
      </c>
      <c r="F19" s="23">
        <v>331.77</v>
      </c>
      <c r="G19" s="23">
        <v>1.23</v>
      </c>
    </row>
    <row r="20" spans="1:8">
      <c r="A20" s="32" t="s">
        <v>325</v>
      </c>
      <c r="B20" s="43">
        <v>1567</v>
      </c>
      <c r="C20" s="43">
        <v>2072</v>
      </c>
      <c r="D20" s="23">
        <v>4</v>
      </c>
      <c r="E20" s="23">
        <v>608.11</v>
      </c>
      <c r="F20" s="23">
        <v>1025.4000000000001</v>
      </c>
      <c r="G20" s="23">
        <v>1.21</v>
      </c>
    </row>
    <row r="21" spans="1:8">
      <c r="A21" s="32" t="s">
        <v>326</v>
      </c>
      <c r="B21" s="23">
        <v>714</v>
      </c>
      <c r="C21" s="23">
        <v>281</v>
      </c>
      <c r="D21" s="23">
        <v>378</v>
      </c>
      <c r="E21" s="23">
        <v>189.2</v>
      </c>
      <c r="F21" s="23">
        <v>124.39</v>
      </c>
      <c r="G21" s="23">
        <v>71.239999999999995</v>
      </c>
    </row>
    <row r="22" spans="1:8">
      <c r="A22" s="32" t="s">
        <v>177</v>
      </c>
      <c r="B22" s="23">
        <v>20</v>
      </c>
      <c r="C22" s="23">
        <v>28</v>
      </c>
      <c r="D22" s="23">
        <v>3</v>
      </c>
      <c r="E22" s="23">
        <v>38.93</v>
      </c>
      <c r="F22" s="23">
        <v>25</v>
      </c>
      <c r="G22" s="23">
        <v>0.56000000000000005</v>
      </c>
    </row>
    <row r="23" spans="1:8">
      <c r="A23" s="30" t="s">
        <v>114</v>
      </c>
      <c r="B23" s="73">
        <v>3082</v>
      </c>
      <c r="C23" s="73">
        <v>3183</v>
      </c>
      <c r="D23" s="31">
        <v>397</v>
      </c>
      <c r="E23" s="74">
        <v>1121.3499999999999</v>
      </c>
      <c r="F23" s="74">
        <v>1506.56</v>
      </c>
      <c r="G23" s="31">
        <v>74.239999999999995</v>
      </c>
    </row>
    <row r="24" spans="1:8">
      <c r="A24" s="30" t="s">
        <v>328</v>
      </c>
      <c r="B24" s="315"/>
      <c r="C24" s="315"/>
      <c r="D24" s="73">
        <v>6662</v>
      </c>
      <c r="E24" s="316"/>
      <c r="F24" s="316"/>
      <c r="G24" s="74">
        <f>SUM(E23:G23)</f>
        <v>2702.1499999999996</v>
      </c>
      <c r="H24" s="183"/>
    </row>
    <row r="25" spans="1:8">
      <c r="A25" s="30" t="s">
        <v>330</v>
      </c>
      <c r="B25" s="315"/>
      <c r="C25" s="315"/>
      <c r="D25" s="73">
        <v>8683</v>
      </c>
      <c r="E25" s="316"/>
      <c r="F25" s="316"/>
      <c r="G25" s="74">
        <v>3624.57</v>
      </c>
    </row>
    <row r="26" spans="1:8">
      <c r="A26" s="20" t="s">
        <v>307</v>
      </c>
      <c r="B26" s="315"/>
      <c r="C26" s="315"/>
      <c r="D26" s="75">
        <f>(D24/D25)-100%</f>
        <v>-0.23275365657030977</v>
      </c>
      <c r="E26" s="316"/>
      <c r="F26" s="316"/>
      <c r="G26" s="75">
        <v>-0.24990000000000001</v>
      </c>
    </row>
    <row r="27" spans="1:8">
      <c r="A27" s="132" t="s">
        <v>331</v>
      </c>
      <c r="B27" s="142"/>
      <c r="C27" s="142"/>
      <c r="D27" s="143"/>
      <c r="E27" s="144"/>
      <c r="F27" s="144"/>
      <c r="G27" s="143"/>
    </row>
    <row r="29" spans="1:8">
      <c r="A29" s="117">
        <v>2020</v>
      </c>
    </row>
    <row r="30" spans="1:8">
      <c r="A30" s="313"/>
      <c r="B30" s="314" t="s">
        <v>321</v>
      </c>
      <c r="C30" s="314"/>
      <c r="D30" s="314"/>
      <c r="E30" s="314" t="s">
        <v>322</v>
      </c>
      <c r="F30" s="314"/>
      <c r="G30" s="314"/>
    </row>
    <row r="31" spans="1:8" ht="28.8">
      <c r="A31" s="313"/>
      <c r="B31" s="70" t="s">
        <v>332</v>
      </c>
      <c r="C31" s="71" t="s">
        <v>136</v>
      </c>
      <c r="D31" s="72" t="s">
        <v>135</v>
      </c>
      <c r="E31" s="70" t="s">
        <v>332</v>
      </c>
      <c r="F31" s="71" t="s">
        <v>136</v>
      </c>
      <c r="G31" s="72" t="s">
        <v>135</v>
      </c>
    </row>
    <row r="32" spans="1:8">
      <c r="A32" s="32" t="s">
        <v>324</v>
      </c>
      <c r="B32" s="23">
        <f>913+1</f>
        <v>914</v>
      </c>
      <c r="C32" s="23">
        <f>1039+8</f>
        <v>1047</v>
      </c>
      <c r="D32" s="23">
        <f>20</f>
        <v>20</v>
      </c>
      <c r="E32" s="23">
        <f>382.44+1</f>
        <v>383.44</v>
      </c>
      <c r="F32" s="23">
        <f>435.44+2.88</f>
        <v>438.32</v>
      </c>
      <c r="G32" s="23">
        <f>2.23</f>
        <v>2.23</v>
      </c>
    </row>
    <row r="33" spans="1:7">
      <c r="A33" s="32" t="s">
        <v>325</v>
      </c>
      <c r="B33" s="23">
        <f>2054+45</f>
        <v>2099</v>
      </c>
      <c r="C33" s="23">
        <f>2702+204</f>
        <v>2906</v>
      </c>
      <c r="D33" s="23">
        <f>9</f>
        <v>9</v>
      </c>
      <c r="E33" s="23">
        <f>834.98+28.91</f>
        <v>863.89</v>
      </c>
      <c r="F33" s="23">
        <f>1261.03+135.75</f>
        <v>1396.78</v>
      </c>
      <c r="G33" s="23">
        <f>3.13</f>
        <v>3.13</v>
      </c>
    </row>
    <row r="34" spans="1:7">
      <c r="A34" s="32" t="s">
        <v>326</v>
      </c>
      <c r="B34" s="23">
        <f>814+11</f>
        <v>825</v>
      </c>
      <c r="C34" s="23">
        <f>336+23</f>
        <v>359</v>
      </c>
      <c r="D34" s="23">
        <f>449</f>
        <v>449</v>
      </c>
      <c r="E34" s="23">
        <f>253.34+1.84</f>
        <v>255.18</v>
      </c>
      <c r="F34" s="23">
        <f>139.18+7.88</f>
        <v>147.06</v>
      </c>
      <c r="G34" s="23">
        <f>87.45</f>
        <v>87.45</v>
      </c>
    </row>
    <row r="35" spans="1:7">
      <c r="A35" s="32" t="s">
        <v>177</v>
      </c>
      <c r="B35" s="31">
        <f>19</f>
        <v>19</v>
      </c>
      <c r="C35" s="31">
        <f>32</f>
        <v>32</v>
      </c>
      <c r="D35" s="31">
        <f>4</f>
        <v>4</v>
      </c>
      <c r="E35" s="31">
        <f>17.03</f>
        <v>17.03</v>
      </c>
      <c r="F35" s="31">
        <f>29.05</f>
        <v>29.05</v>
      </c>
      <c r="G35" s="31">
        <f>0.99</f>
        <v>0.99</v>
      </c>
    </row>
    <row r="36" spans="1:7">
      <c r="A36" s="30" t="s">
        <v>114</v>
      </c>
      <c r="B36" s="30">
        <f>SUM(B32:B35)</f>
        <v>3857</v>
      </c>
      <c r="C36" s="30">
        <f t="shared" ref="C36:D36" si="1">SUM(C32:C35)</f>
        <v>4344</v>
      </c>
      <c r="D36" s="30">
        <f t="shared" si="1"/>
        <v>482</v>
      </c>
      <c r="E36" s="30">
        <v>1519.56</v>
      </c>
      <c r="F36" s="30">
        <v>2011.2</v>
      </c>
      <c r="G36" s="30">
        <v>93.81</v>
      </c>
    </row>
    <row r="37" spans="1:7">
      <c r="A37" s="30" t="s">
        <v>330</v>
      </c>
      <c r="B37" s="317"/>
      <c r="C37" s="318"/>
      <c r="D37" s="180">
        <f>B36+C36+D36</f>
        <v>8683</v>
      </c>
      <c r="E37" s="317"/>
      <c r="F37" s="318"/>
      <c r="G37" s="181">
        <f>E36+F36+G36</f>
        <v>3624.57</v>
      </c>
    </row>
    <row r="38" spans="1:7">
      <c r="A38" s="20" t="s">
        <v>333</v>
      </c>
      <c r="B38" s="319"/>
      <c r="C38" s="320"/>
      <c r="D38" s="182">
        <f>D50</f>
        <v>8163</v>
      </c>
      <c r="E38" s="319"/>
      <c r="F38" s="320"/>
      <c r="G38" s="181">
        <f>G50</f>
        <v>3419.58</v>
      </c>
    </row>
    <row r="39" spans="1:7">
      <c r="A39" s="296" t="s">
        <v>334</v>
      </c>
      <c r="B39" s="319"/>
      <c r="C39" s="320"/>
      <c r="D39" s="325">
        <v>6.3700000000000007E-2</v>
      </c>
      <c r="E39" s="319"/>
      <c r="F39" s="320"/>
      <c r="G39" s="325">
        <v>5.9900000000000002E-2</v>
      </c>
    </row>
    <row r="40" spans="1:7">
      <c r="A40" s="296" t="s">
        <v>335</v>
      </c>
      <c r="B40" s="321"/>
      <c r="C40" s="322"/>
      <c r="D40" s="326"/>
      <c r="E40" s="321"/>
      <c r="F40" s="322"/>
      <c r="G40" s="326"/>
    </row>
    <row r="42" spans="1:7">
      <c r="A42" s="117">
        <v>2019</v>
      </c>
    </row>
    <row r="43" spans="1:7">
      <c r="A43" s="313"/>
      <c r="B43" s="314" t="s">
        <v>321</v>
      </c>
      <c r="C43" s="314"/>
      <c r="D43" s="314"/>
      <c r="E43" s="314" t="s">
        <v>322</v>
      </c>
      <c r="F43" s="314"/>
      <c r="G43" s="314"/>
    </row>
    <row r="44" spans="1:7" ht="28.8">
      <c r="A44" s="313"/>
      <c r="B44" s="70" t="s">
        <v>332</v>
      </c>
      <c r="C44" s="71" t="s">
        <v>136</v>
      </c>
      <c r="D44" s="72" t="s">
        <v>135</v>
      </c>
      <c r="E44" s="70" t="s">
        <v>332</v>
      </c>
      <c r="F44" s="71" t="s">
        <v>136</v>
      </c>
      <c r="G44" s="72" t="s">
        <v>135</v>
      </c>
    </row>
    <row r="45" spans="1:7">
      <c r="A45" s="32" t="s">
        <v>324</v>
      </c>
      <c r="B45" s="23">
        <v>951</v>
      </c>
      <c r="C45" s="23">
        <v>991</v>
      </c>
      <c r="D45" s="23">
        <v>13</v>
      </c>
      <c r="E45" s="23">
        <v>410.46</v>
      </c>
      <c r="F45" s="23">
        <v>412.75</v>
      </c>
      <c r="G45" s="23">
        <v>2.4700000000000002</v>
      </c>
    </row>
    <row r="46" spans="1:7">
      <c r="A46" s="32" t="s">
        <v>325</v>
      </c>
      <c r="B46" s="23">
        <v>1961</v>
      </c>
      <c r="C46" s="23">
        <v>2622</v>
      </c>
      <c r="D46" s="23">
        <v>11</v>
      </c>
      <c r="E46" s="23">
        <v>850.4</v>
      </c>
      <c r="F46" s="23">
        <v>1256.71</v>
      </c>
      <c r="G46" s="23">
        <v>2.52</v>
      </c>
    </row>
    <row r="47" spans="1:7">
      <c r="A47" s="32" t="s">
        <v>326</v>
      </c>
      <c r="B47" s="23">
        <v>712</v>
      </c>
      <c r="C47" s="23">
        <v>342</v>
      </c>
      <c r="D47" s="23">
        <v>498</v>
      </c>
      <c r="E47" s="23">
        <v>204.6</v>
      </c>
      <c r="F47" s="23">
        <v>134.86000000000001</v>
      </c>
      <c r="G47" s="23">
        <v>94.58</v>
      </c>
    </row>
    <row r="48" spans="1:7">
      <c r="A48" s="32" t="s">
        <v>177</v>
      </c>
      <c r="B48" s="31">
        <v>20</v>
      </c>
      <c r="C48" s="31">
        <v>38</v>
      </c>
      <c r="D48" s="31">
        <v>4</v>
      </c>
      <c r="E48" s="31">
        <v>18.63</v>
      </c>
      <c r="F48" s="31">
        <v>30.62</v>
      </c>
      <c r="G48" s="31">
        <v>0.99</v>
      </c>
    </row>
    <row r="49" spans="1:7">
      <c r="A49" s="30" t="s">
        <v>114</v>
      </c>
      <c r="B49" s="30">
        <v>3644</v>
      </c>
      <c r="C49" s="30">
        <v>3993</v>
      </c>
      <c r="D49" s="73">
        <v>526</v>
      </c>
      <c r="E49" s="30">
        <v>1484.08</v>
      </c>
      <c r="F49" s="30">
        <v>1834.94</v>
      </c>
      <c r="G49" s="74">
        <v>100.56</v>
      </c>
    </row>
    <row r="50" spans="1:7">
      <c r="A50" s="30" t="s">
        <v>333</v>
      </c>
      <c r="B50" s="317"/>
      <c r="C50" s="318"/>
      <c r="D50" s="73">
        <v>8163</v>
      </c>
      <c r="E50" s="317"/>
      <c r="F50" s="318"/>
      <c r="G50" s="74">
        <v>3419.58</v>
      </c>
    </row>
    <row r="51" spans="1:7">
      <c r="A51" s="20" t="s">
        <v>336</v>
      </c>
      <c r="B51" s="319"/>
      <c r="C51" s="320"/>
      <c r="D51" s="121">
        <v>9380</v>
      </c>
      <c r="E51" s="319"/>
      <c r="F51" s="320"/>
      <c r="G51" s="31">
        <v>3951.98</v>
      </c>
    </row>
    <row r="52" spans="1:7">
      <c r="A52" s="296" t="s">
        <v>337</v>
      </c>
      <c r="B52" s="319"/>
      <c r="C52" s="320"/>
      <c r="D52" s="323">
        <v>-0.12970000000000001</v>
      </c>
      <c r="E52" s="319"/>
      <c r="F52" s="320"/>
      <c r="G52" s="323">
        <v>-0.13469999999999999</v>
      </c>
    </row>
    <row r="53" spans="1:7">
      <c r="A53" s="296" t="s">
        <v>335</v>
      </c>
      <c r="B53" s="321"/>
      <c r="C53" s="322"/>
      <c r="D53" s="324"/>
      <c r="E53" s="321"/>
      <c r="F53" s="322"/>
      <c r="G53" s="324"/>
    </row>
    <row r="55" spans="1:7">
      <c r="A55" s="117">
        <v>2018</v>
      </c>
    </row>
    <row r="56" spans="1:7">
      <c r="A56" s="313"/>
      <c r="B56" s="314" t="s">
        <v>321</v>
      </c>
      <c r="C56" s="314"/>
      <c r="D56" s="314"/>
      <c r="E56" s="314" t="s">
        <v>322</v>
      </c>
      <c r="F56" s="314"/>
      <c r="G56" s="314"/>
    </row>
    <row r="57" spans="1:7" ht="28.8">
      <c r="A57" s="313"/>
      <c r="B57" s="70" t="s">
        <v>332</v>
      </c>
      <c r="C57" s="71" t="s">
        <v>136</v>
      </c>
      <c r="D57" s="72" t="s">
        <v>135</v>
      </c>
      <c r="E57" s="70" t="s">
        <v>332</v>
      </c>
      <c r="F57" s="71" t="s">
        <v>136</v>
      </c>
      <c r="G57" s="72" t="s">
        <v>135</v>
      </c>
    </row>
    <row r="58" spans="1:7">
      <c r="A58" s="32" t="s">
        <v>324</v>
      </c>
      <c r="B58" s="23">
        <v>1016</v>
      </c>
      <c r="C58" s="23">
        <v>1033</v>
      </c>
      <c r="D58" s="23">
        <v>21</v>
      </c>
      <c r="E58" s="23">
        <v>474.13</v>
      </c>
      <c r="F58" s="23">
        <v>436.28</v>
      </c>
      <c r="G58" s="23">
        <v>3.09</v>
      </c>
    </row>
    <row r="59" spans="1:7">
      <c r="A59" s="32" t="s">
        <v>325</v>
      </c>
      <c r="B59" s="23">
        <v>2459</v>
      </c>
      <c r="C59" s="23">
        <v>2985</v>
      </c>
      <c r="D59" s="23">
        <v>1</v>
      </c>
      <c r="E59" s="23">
        <v>1070.3399999999999</v>
      </c>
      <c r="F59" s="23">
        <v>1386.47</v>
      </c>
      <c r="G59" s="23">
        <v>0.18</v>
      </c>
    </row>
    <row r="60" spans="1:7">
      <c r="A60" s="32" t="s">
        <v>326</v>
      </c>
      <c r="B60" s="23">
        <v>882</v>
      </c>
      <c r="C60" s="23">
        <v>413</v>
      </c>
      <c r="D60" s="23">
        <v>497</v>
      </c>
      <c r="E60" s="23">
        <v>272.55</v>
      </c>
      <c r="F60" s="23">
        <v>163.6</v>
      </c>
      <c r="G60" s="23">
        <v>89.14</v>
      </c>
    </row>
    <row r="61" spans="1:7">
      <c r="A61" s="32" t="s">
        <v>177</v>
      </c>
      <c r="B61" s="31">
        <v>25</v>
      </c>
      <c r="C61" s="31">
        <v>44</v>
      </c>
      <c r="D61" s="31">
        <v>4</v>
      </c>
      <c r="E61" s="31">
        <v>21.6</v>
      </c>
      <c r="F61" s="31">
        <v>33.909999999999997</v>
      </c>
      <c r="G61" s="31">
        <v>0.68</v>
      </c>
    </row>
    <row r="62" spans="1:7">
      <c r="A62" s="30" t="s">
        <v>114</v>
      </c>
      <c r="B62" s="30">
        <v>4382</v>
      </c>
      <c r="C62" s="30">
        <v>4475</v>
      </c>
      <c r="D62" s="73">
        <v>523</v>
      </c>
      <c r="E62" s="30">
        <v>1484.08</v>
      </c>
      <c r="F62" s="30">
        <v>1834.94</v>
      </c>
      <c r="G62" s="74">
        <v>93.1</v>
      </c>
    </row>
    <row r="63" spans="1:7">
      <c r="A63" s="20" t="s">
        <v>336</v>
      </c>
      <c r="B63" s="317"/>
      <c r="C63" s="318"/>
      <c r="D63" s="122">
        <v>9380</v>
      </c>
      <c r="E63" s="317"/>
      <c r="F63" s="318"/>
      <c r="G63" s="123">
        <v>3951.98</v>
      </c>
    </row>
    <row r="64" spans="1:7">
      <c r="A64" s="20" t="s">
        <v>338</v>
      </c>
      <c r="B64" s="319"/>
      <c r="C64" s="320"/>
      <c r="D64" s="124">
        <v>7539</v>
      </c>
      <c r="E64" s="319"/>
      <c r="F64" s="320"/>
      <c r="G64" s="72">
        <v>2591.4</v>
      </c>
    </row>
    <row r="65" spans="1:7">
      <c r="A65" s="296" t="s">
        <v>339</v>
      </c>
      <c r="B65" s="319"/>
      <c r="C65" s="320"/>
      <c r="D65" s="323">
        <v>0.24410000000000001</v>
      </c>
      <c r="E65" s="319"/>
      <c r="F65" s="320"/>
      <c r="G65" s="323">
        <v>0.52500000000000002</v>
      </c>
    </row>
    <row r="66" spans="1:7">
      <c r="A66" s="296" t="s">
        <v>335</v>
      </c>
      <c r="B66" s="321"/>
      <c r="C66" s="322"/>
      <c r="D66" s="324"/>
      <c r="E66" s="321"/>
      <c r="F66" s="322"/>
      <c r="G66" s="324"/>
    </row>
  </sheetData>
  <mergeCells count="34">
    <mergeCell ref="A30:A31"/>
    <mergeCell ref="B30:D30"/>
    <mergeCell ref="E30:G30"/>
    <mergeCell ref="B37:C40"/>
    <mergeCell ref="E37:F40"/>
    <mergeCell ref="A39:A40"/>
    <mergeCell ref="D39:D40"/>
    <mergeCell ref="G39:G40"/>
    <mergeCell ref="B24:C26"/>
    <mergeCell ref="E24:F26"/>
    <mergeCell ref="A17:A18"/>
    <mergeCell ref="B17:D17"/>
    <mergeCell ref="E17:G17"/>
    <mergeCell ref="B50:C53"/>
    <mergeCell ref="E50:F53"/>
    <mergeCell ref="D52:D53"/>
    <mergeCell ref="G52:G53"/>
    <mergeCell ref="A43:A44"/>
    <mergeCell ref="A52:A53"/>
    <mergeCell ref="B43:D43"/>
    <mergeCell ref="E43:G43"/>
    <mergeCell ref="A56:A57"/>
    <mergeCell ref="B56:D56"/>
    <mergeCell ref="E56:G56"/>
    <mergeCell ref="B63:C66"/>
    <mergeCell ref="E63:F66"/>
    <mergeCell ref="A65:A66"/>
    <mergeCell ref="D65:D66"/>
    <mergeCell ref="G65:G66"/>
    <mergeCell ref="A4:A5"/>
    <mergeCell ref="B4:D4"/>
    <mergeCell ref="E4:G4"/>
    <mergeCell ref="B11:C13"/>
    <mergeCell ref="E11:F13"/>
  </mergeCells>
  <hyperlinks>
    <hyperlink ref="A1" location="Inhoud!A1" display="Terug naar inhoud" xr:uid="{0D877CD6-9BF8-42F3-9059-73D30D70B07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AF7C9-99FA-4CAB-A5AB-9EAE58701A90}">
  <dimension ref="A1:K39"/>
  <sheetViews>
    <sheetView workbookViewId="0">
      <selection activeCell="A2" sqref="A2"/>
    </sheetView>
  </sheetViews>
  <sheetFormatPr defaultColWidth="9.109375" defaultRowHeight="14.4"/>
  <cols>
    <col min="1" max="1" width="8.5546875" style="34" customWidth="1"/>
    <col min="2" max="16384" width="9.109375" style="34"/>
  </cols>
  <sheetData>
    <row r="1" spans="1:11">
      <c r="A1" s="226" t="s">
        <v>87</v>
      </c>
    </row>
    <row r="2" spans="1:11">
      <c r="A2" s="76" t="s">
        <v>340</v>
      </c>
    </row>
    <row r="3" spans="1:11">
      <c r="A3" s="327" t="s">
        <v>99</v>
      </c>
      <c r="B3" s="328"/>
      <c r="C3" s="328"/>
      <c r="D3" s="328"/>
      <c r="E3" s="329"/>
      <c r="F3" s="327" t="s">
        <v>196</v>
      </c>
      <c r="G3" s="328"/>
      <c r="H3" s="328"/>
      <c r="I3" s="329"/>
    </row>
    <row r="4" spans="1:11">
      <c r="A4" s="26">
        <v>2021</v>
      </c>
      <c r="B4" s="25" t="s">
        <v>341</v>
      </c>
      <c r="C4" s="25" t="s">
        <v>342</v>
      </c>
      <c r="D4" s="25" t="s">
        <v>135</v>
      </c>
      <c r="E4" s="25" t="s">
        <v>114</v>
      </c>
      <c r="F4" s="25" t="s">
        <v>341</v>
      </c>
      <c r="G4" s="25" t="s">
        <v>342</v>
      </c>
      <c r="H4" s="25" t="s">
        <v>135</v>
      </c>
      <c r="I4" s="25" t="s">
        <v>114</v>
      </c>
    </row>
    <row r="5" spans="1:11">
      <c r="A5" s="27" t="s">
        <v>298</v>
      </c>
      <c r="B5" s="23">
        <v>9.1999999999999993</v>
      </c>
      <c r="C5" s="23">
        <v>16.149999999999999</v>
      </c>
      <c r="D5" s="23">
        <v>0.4</v>
      </c>
      <c r="E5" s="23">
        <f>SUM(B5:D5)</f>
        <v>25.749999999999996</v>
      </c>
      <c r="F5" s="77">
        <f t="shared" ref="F5:I7" si="0">(B5/B14)-1</f>
        <v>-0.73240255962769063</v>
      </c>
      <c r="G5" s="77">
        <f t="shared" si="0"/>
        <v>-0.65171447056286391</v>
      </c>
      <c r="H5" s="77">
        <f t="shared" si="0"/>
        <v>-0.43661971830985913</v>
      </c>
      <c r="I5" s="77">
        <f t="shared" si="0"/>
        <v>-0.6838939356739504</v>
      </c>
    </row>
    <row r="6" spans="1:11">
      <c r="A6" s="27" t="s">
        <v>325</v>
      </c>
      <c r="B6" s="23">
        <v>9.6</v>
      </c>
      <c r="C6" s="23">
        <v>25.78</v>
      </c>
      <c r="D6" s="23">
        <v>0.06</v>
      </c>
      <c r="E6" s="23">
        <f>SUM(B6:D6)</f>
        <v>35.440000000000005</v>
      </c>
      <c r="F6" s="77">
        <f t="shared" si="0"/>
        <v>-0.82420802050906428</v>
      </c>
      <c r="G6" s="77">
        <f t="shared" si="0"/>
        <v>-0.57140482128013304</v>
      </c>
      <c r="H6" s="77">
        <f t="shared" si="0"/>
        <v>-0.7931034482758621</v>
      </c>
      <c r="I6" s="77">
        <f t="shared" si="0"/>
        <v>-0.69196001738374613</v>
      </c>
    </row>
    <row r="7" spans="1:11">
      <c r="A7" s="27" t="s">
        <v>326</v>
      </c>
      <c r="B7" s="23">
        <v>5.92</v>
      </c>
      <c r="C7" s="23">
        <v>2.5499999999999998</v>
      </c>
      <c r="D7" s="23">
        <v>7.52</v>
      </c>
      <c r="E7" s="23">
        <f>SUM(B7:D7)</f>
        <v>15.989999999999998</v>
      </c>
      <c r="F7" s="77">
        <f t="shared" si="0"/>
        <v>-0.53822152886115449</v>
      </c>
      <c r="G7" s="77">
        <f t="shared" si="0"/>
        <v>-0.81707317073170738</v>
      </c>
      <c r="H7" s="77">
        <f t="shared" si="0"/>
        <v>0.16049382716049365</v>
      </c>
      <c r="I7" s="77">
        <f t="shared" si="0"/>
        <v>-0.51895306859205781</v>
      </c>
    </row>
    <row r="8" spans="1:11">
      <c r="A8" s="27" t="s">
        <v>137</v>
      </c>
      <c r="B8" s="23">
        <v>0</v>
      </c>
      <c r="C8" s="23">
        <v>0.05</v>
      </c>
      <c r="D8" s="23">
        <v>0.03</v>
      </c>
      <c r="E8" s="23">
        <f>SUM(B8:D8)</f>
        <v>0.08</v>
      </c>
      <c r="F8" s="77">
        <v>0</v>
      </c>
      <c r="G8" s="77">
        <f>(C8/C17)-1</f>
        <v>-0.77272727272727271</v>
      </c>
      <c r="H8" s="77">
        <v>0</v>
      </c>
      <c r="I8" s="77">
        <f>(E8/E17)-1</f>
        <v>-0.63636363636363635</v>
      </c>
    </row>
    <row r="9" spans="1:11">
      <c r="A9" s="26" t="s">
        <v>114</v>
      </c>
      <c r="B9" s="23">
        <f>SUM(B5:B8)</f>
        <v>24.72</v>
      </c>
      <c r="C9" s="23">
        <f>SUM(C5:C8)</f>
        <v>44.529999999999994</v>
      </c>
      <c r="D9" s="23">
        <f>SUM(D5:D8)</f>
        <v>8.01</v>
      </c>
      <c r="E9" s="23">
        <f>SUM(E5:E8)</f>
        <v>77.259999999999991</v>
      </c>
      <c r="F9" s="77">
        <f>(B9/B18)-1</f>
        <v>-0.7571947745801002</v>
      </c>
      <c r="G9" s="77">
        <f>(C9/C18)-1</f>
        <v>-0.63100762346702033</v>
      </c>
      <c r="H9" s="77">
        <f>(D9/D18)-1</f>
        <v>7.0855614973261982E-2</v>
      </c>
      <c r="I9" s="77">
        <f>(E9/E18)-1</f>
        <v>-0.66404313606122534</v>
      </c>
    </row>
    <row r="10" spans="1:11">
      <c r="A10" s="132" t="s">
        <v>343</v>
      </c>
    </row>
    <row r="11" spans="1:11">
      <c r="A11" s="132"/>
    </row>
    <row r="12" spans="1:11" ht="15" customHeight="1">
      <c r="A12" s="327" t="s">
        <v>98</v>
      </c>
      <c r="B12" s="328"/>
      <c r="C12" s="328"/>
      <c r="D12" s="328"/>
      <c r="E12" s="329"/>
      <c r="F12" s="327" t="s">
        <v>196</v>
      </c>
      <c r="G12" s="328"/>
      <c r="H12" s="328"/>
      <c r="I12" s="329"/>
    </row>
    <row r="13" spans="1:11">
      <c r="A13" s="26">
        <v>2020</v>
      </c>
      <c r="B13" s="25" t="s">
        <v>341</v>
      </c>
      <c r="C13" s="25" t="s">
        <v>342</v>
      </c>
      <c r="D13" s="25" t="s">
        <v>135</v>
      </c>
      <c r="E13" s="25" t="s">
        <v>114</v>
      </c>
      <c r="F13" s="25" t="s">
        <v>341</v>
      </c>
      <c r="G13" s="25" t="s">
        <v>342</v>
      </c>
      <c r="H13" s="25" t="s">
        <v>135</v>
      </c>
      <c r="I13" s="25" t="s">
        <v>114</v>
      </c>
    </row>
    <row r="14" spans="1:11">
      <c r="A14" s="27" t="s">
        <v>298</v>
      </c>
      <c r="B14" s="23">
        <v>34.380000000000003</v>
      </c>
      <c r="C14" s="23">
        <v>46.37</v>
      </c>
      <c r="D14" s="23">
        <v>0.71</v>
      </c>
      <c r="E14" s="23">
        <v>81.459999999999994</v>
      </c>
      <c r="F14" s="77">
        <v>-0.33</v>
      </c>
      <c r="G14" s="77">
        <v>-0.52</v>
      </c>
      <c r="H14" s="77">
        <v>3.18</v>
      </c>
      <c r="I14" s="77">
        <v>-0.45</v>
      </c>
      <c r="K14" s="294"/>
    </row>
    <row r="15" spans="1:11">
      <c r="A15" s="27" t="s">
        <v>325</v>
      </c>
      <c r="B15" s="23">
        <v>54.61</v>
      </c>
      <c r="C15" s="23">
        <v>60.15</v>
      </c>
      <c r="D15" s="23">
        <v>0.28999999999999998</v>
      </c>
      <c r="E15" s="23">
        <v>115.05</v>
      </c>
      <c r="F15" s="77">
        <v>0.74</v>
      </c>
      <c r="G15" s="77">
        <v>-0.61</v>
      </c>
      <c r="H15" s="77">
        <v>0.04</v>
      </c>
      <c r="I15" s="77">
        <v>-0.38</v>
      </c>
    </row>
    <row r="16" spans="1:11">
      <c r="A16" s="27" t="s">
        <v>326</v>
      </c>
      <c r="B16" s="23">
        <v>12.82</v>
      </c>
      <c r="C16" s="23">
        <v>13.94</v>
      </c>
      <c r="D16" s="23">
        <v>6.48</v>
      </c>
      <c r="E16" s="23">
        <v>33.24</v>
      </c>
      <c r="F16" s="77">
        <v>-7.0000000000000007E-2</v>
      </c>
      <c r="G16" s="77">
        <v>-0.27</v>
      </c>
      <c r="H16" s="77">
        <v>-0.13</v>
      </c>
      <c r="I16" s="77">
        <v>-0.18</v>
      </c>
    </row>
    <row r="17" spans="1:9">
      <c r="A17" s="27" t="s">
        <v>137</v>
      </c>
      <c r="B17" s="23">
        <v>0</v>
      </c>
      <c r="C17" s="23">
        <v>0.22</v>
      </c>
      <c r="D17" s="23">
        <v>0</v>
      </c>
      <c r="E17" s="23">
        <v>0.22</v>
      </c>
      <c r="F17" s="77">
        <v>-1</v>
      </c>
      <c r="G17" s="77">
        <v>6.33</v>
      </c>
      <c r="H17" s="77">
        <v>-1</v>
      </c>
      <c r="I17" s="77">
        <v>-0.79</v>
      </c>
    </row>
    <row r="18" spans="1:9">
      <c r="A18" s="26" t="s">
        <v>114</v>
      </c>
      <c r="B18" s="23">
        <v>101.81</v>
      </c>
      <c r="C18" s="23">
        <v>120.68</v>
      </c>
      <c r="D18" s="23">
        <v>7.48</v>
      </c>
      <c r="E18" s="23">
        <v>229.97</v>
      </c>
      <c r="F18" s="77">
        <v>0.05</v>
      </c>
      <c r="G18" s="77">
        <v>-0.56000000000000005</v>
      </c>
      <c r="H18" s="77">
        <v>-0.05</v>
      </c>
      <c r="I18" s="77">
        <v>-0.39</v>
      </c>
    </row>
    <row r="19" spans="1:9" ht="15" customHeight="1">
      <c r="A19" s="327" t="s">
        <v>97</v>
      </c>
      <c r="B19" s="328"/>
      <c r="C19" s="328"/>
      <c r="D19" s="328"/>
      <c r="E19" s="329"/>
      <c r="F19" s="327" t="s">
        <v>344</v>
      </c>
      <c r="G19" s="328"/>
      <c r="H19" s="328"/>
      <c r="I19" s="329"/>
    </row>
    <row r="20" spans="1:9">
      <c r="A20" s="26">
        <v>2019</v>
      </c>
      <c r="B20" s="25" t="s">
        <v>341</v>
      </c>
      <c r="C20" s="25" t="s">
        <v>342</v>
      </c>
      <c r="D20" s="25" t="s">
        <v>135</v>
      </c>
      <c r="E20" s="25" t="s">
        <v>114</v>
      </c>
      <c r="F20" s="25" t="s">
        <v>341</v>
      </c>
      <c r="G20" s="25" t="s">
        <v>342</v>
      </c>
      <c r="H20" s="25" t="s">
        <v>135</v>
      </c>
      <c r="I20" s="25" t="s">
        <v>114</v>
      </c>
    </row>
    <row r="21" spans="1:9">
      <c r="A21" s="27" t="s">
        <v>298</v>
      </c>
      <c r="B21" s="23">
        <v>51.16</v>
      </c>
      <c r="C21" s="23">
        <v>97.34</v>
      </c>
      <c r="D21" s="23">
        <v>0.17</v>
      </c>
      <c r="E21" s="23">
        <v>148.66999999999999</v>
      </c>
      <c r="F21" s="77">
        <v>-0.1</v>
      </c>
      <c r="G21" s="77">
        <v>0.16</v>
      </c>
      <c r="H21" s="77">
        <v>-0.65</v>
      </c>
      <c r="I21" s="77">
        <v>0.05</v>
      </c>
    </row>
    <row r="22" spans="1:9">
      <c r="A22" s="27" t="s">
        <v>325</v>
      </c>
      <c r="B22" s="23">
        <v>31.37</v>
      </c>
      <c r="C22" s="23">
        <v>155.26</v>
      </c>
      <c r="D22" s="23">
        <v>0.28000000000000003</v>
      </c>
      <c r="E22" s="23">
        <v>186.91</v>
      </c>
      <c r="F22" s="77">
        <v>-0.21</v>
      </c>
      <c r="G22" s="77">
        <v>0.24</v>
      </c>
      <c r="H22" s="23" t="s">
        <v>345</v>
      </c>
      <c r="I22" s="77">
        <v>0.14000000000000001</v>
      </c>
    </row>
    <row r="23" spans="1:9">
      <c r="A23" s="27" t="s">
        <v>326</v>
      </c>
      <c r="B23" s="23">
        <v>13.84</v>
      </c>
      <c r="C23" s="23">
        <v>19.100000000000001</v>
      </c>
      <c r="D23" s="23">
        <v>7.45</v>
      </c>
      <c r="E23" s="23">
        <v>40.39</v>
      </c>
      <c r="F23" s="77">
        <v>0.15</v>
      </c>
      <c r="G23" s="77">
        <v>0.25</v>
      </c>
      <c r="H23" s="77">
        <v>-0.25</v>
      </c>
      <c r="I23" s="77">
        <v>0.08</v>
      </c>
    </row>
    <row r="24" spans="1:9">
      <c r="A24" s="27" t="s">
        <v>137</v>
      </c>
      <c r="B24" s="23">
        <v>1</v>
      </c>
      <c r="C24" s="23">
        <v>0.03</v>
      </c>
      <c r="D24" s="23">
        <v>0.01</v>
      </c>
      <c r="E24" s="23">
        <v>1.04</v>
      </c>
      <c r="F24" s="23" t="s">
        <v>345</v>
      </c>
      <c r="G24" s="23" t="s">
        <v>345</v>
      </c>
      <c r="H24" s="77">
        <v>-0.9</v>
      </c>
      <c r="I24" s="77">
        <v>9.4</v>
      </c>
    </row>
    <row r="25" spans="1:9">
      <c r="A25" s="26" t="s">
        <v>114</v>
      </c>
      <c r="B25" s="23">
        <v>97.36</v>
      </c>
      <c r="C25" s="23">
        <v>271.73</v>
      </c>
      <c r="D25" s="23">
        <v>7.91</v>
      </c>
      <c r="E25" s="23">
        <v>377</v>
      </c>
      <c r="F25" s="77">
        <v>-0.1</v>
      </c>
      <c r="G25" s="77">
        <v>0.21</v>
      </c>
      <c r="H25" s="77">
        <v>-0.25</v>
      </c>
      <c r="I25" s="77">
        <v>0.1</v>
      </c>
    </row>
    <row r="26" spans="1:9" ht="15.75" customHeight="1">
      <c r="A26" s="327" t="s">
        <v>96</v>
      </c>
      <c r="B26" s="328"/>
      <c r="C26" s="328"/>
      <c r="D26" s="328"/>
      <c r="E26" s="329"/>
      <c r="F26" s="327" t="s">
        <v>346</v>
      </c>
      <c r="G26" s="328"/>
      <c r="H26" s="328"/>
      <c r="I26" s="329"/>
    </row>
    <row r="27" spans="1:9">
      <c r="A27" s="26">
        <v>2018</v>
      </c>
      <c r="B27" s="25" t="s">
        <v>341</v>
      </c>
      <c r="C27" s="25" t="s">
        <v>342</v>
      </c>
      <c r="D27" s="25" t="s">
        <v>135</v>
      </c>
      <c r="E27" s="25" t="s">
        <v>114</v>
      </c>
      <c r="F27" s="25" t="s">
        <v>341</v>
      </c>
      <c r="G27" s="25" t="s">
        <v>342</v>
      </c>
      <c r="H27" s="25" t="s">
        <v>135</v>
      </c>
      <c r="I27" s="25" t="s">
        <v>114</v>
      </c>
    </row>
    <row r="28" spans="1:9">
      <c r="A28" s="27" t="s">
        <v>298</v>
      </c>
      <c r="B28" s="23">
        <v>56.62</v>
      </c>
      <c r="C28" s="23">
        <v>84.19</v>
      </c>
      <c r="D28" s="23">
        <v>0.49</v>
      </c>
      <c r="E28" s="23">
        <v>141.30000000000001</v>
      </c>
      <c r="F28" s="77">
        <v>0.18</v>
      </c>
      <c r="G28" s="77">
        <v>0.36</v>
      </c>
      <c r="H28" s="77">
        <v>-0.09</v>
      </c>
      <c r="I28" s="77">
        <v>0.28000000000000003</v>
      </c>
    </row>
    <row r="29" spans="1:9">
      <c r="A29" s="27" t="s">
        <v>325</v>
      </c>
      <c r="B29" s="23">
        <v>39.86</v>
      </c>
      <c r="C29" s="23">
        <v>124.75</v>
      </c>
      <c r="D29" s="23">
        <v>0</v>
      </c>
      <c r="E29" s="23">
        <v>164.61</v>
      </c>
      <c r="F29" s="77">
        <v>0.12</v>
      </c>
      <c r="G29" s="77">
        <v>0.35</v>
      </c>
      <c r="H29" s="77">
        <v>-1</v>
      </c>
      <c r="I29" s="77">
        <v>0.28000000000000003</v>
      </c>
    </row>
    <row r="30" spans="1:9">
      <c r="A30" s="27" t="s">
        <v>326</v>
      </c>
      <c r="B30" s="23">
        <v>12.01</v>
      </c>
      <c r="C30" s="23">
        <v>15.28</v>
      </c>
      <c r="D30" s="23">
        <v>9.9700000000000006</v>
      </c>
      <c r="E30" s="23">
        <v>37.26</v>
      </c>
      <c r="F30" s="77">
        <v>0.08</v>
      </c>
      <c r="G30" s="77">
        <v>0.19</v>
      </c>
      <c r="H30" s="77">
        <v>0.25</v>
      </c>
      <c r="I30" s="77">
        <v>0.17</v>
      </c>
    </row>
    <row r="31" spans="1:9">
      <c r="A31" s="27" t="s">
        <v>137</v>
      </c>
      <c r="B31" s="23">
        <v>0</v>
      </c>
      <c r="C31" s="23">
        <v>0</v>
      </c>
      <c r="D31" s="23">
        <v>0.1</v>
      </c>
      <c r="E31" s="23">
        <v>0.1</v>
      </c>
      <c r="F31" s="77">
        <v>0</v>
      </c>
      <c r="G31" s="77">
        <v>-1</v>
      </c>
      <c r="H31" s="23" t="s">
        <v>345</v>
      </c>
      <c r="I31" s="77">
        <v>0.11</v>
      </c>
    </row>
    <row r="32" spans="1:9">
      <c r="A32" s="26" t="s">
        <v>114</v>
      </c>
      <c r="B32" s="25">
        <v>108.49</v>
      </c>
      <c r="C32" s="25">
        <v>224.22</v>
      </c>
      <c r="D32" s="25">
        <v>10.56</v>
      </c>
      <c r="E32" s="25">
        <v>343.27</v>
      </c>
      <c r="F32" s="77">
        <v>0.14000000000000001</v>
      </c>
      <c r="G32" s="77">
        <v>0.34</v>
      </c>
      <c r="H32" s="77">
        <v>0.24</v>
      </c>
      <c r="I32" s="77">
        <v>0.27</v>
      </c>
    </row>
    <row r="33" spans="1:9">
      <c r="A33" s="327" t="s">
        <v>95</v>
      </c>
      <c r="B33" s="328"/>
      <c r="C33" s="328"/>
      <c r="D33" s="328"/>
      <c r="E33" s="329"/>
      <c r="F33" s="327" t="s">
        <v>347</v>
      </c>
      <c r="G33" s="328"/>
      <c r="H33" s="328"/>
      <c r="I33" s="329"/>
    </row>
    <row r="34" spans="1:9">
      <c r="A34" s="26">
        <v>2017</v>
      </c>
      <c r="B34" s="25" t="s">
        <v>341</v>
      </c>
      <c r="C34" s="25" t="s">
        <v>342</v>
      </c>
      <c r="D34" s="25" t="s">
        <v>135</v>
      </c>
      <c r="E34" s="25" t="s">
        <v>114</v>
      </c>
      <c r="F34" s="25" t="s">
        <v>341</v>
      </c>
      <c r="G34" s="25" t="s">
        <v>342</v>
      </c>
      <c r="H34" s="25" t="s">
        <v>135</v>
      </c>
      <c r="I34" s="25" t="s">
        <v>114</v>
      </c>
    </row>
    <row r="35" spans="1:9">
      <c r="A35" s="27" t="s">
        <v>298</v>
      </c>
      <c r="B35" s="23">
        <v>48.16</v>
      </c>
      <c r="C35" s="23">
        <v>62.11</v>
      </c>
      <c r="D35" s="23">
        <v>0.54</v>
      </c>
      <c r="E35" s="23">
        <v>110.81</v>
      </c>
      <c r="F35" s="77">
        <v>0.83</v>
      </c>
      <c r="G35" s="77">
        <v>0.43</v>
      </c>
      <c r="H35" s="77">
        <v>-0.54</v>
      </c>
      <c r="I35" s="77">
        <v>0.56000000000000005</v>
      </c>
    </row>
    <row r="36" spans="1:9">
      <c r="A36" s="27" t="s">
        <v>325</v>
      </c>
      <c r="B36" s="23">
        <v>35.729999999999997</v>
      </c>
      <c r="C36" s="23">
        <v>92.64</v>
      </c>
      <c r="D36" s="23">
        <v>0.04</v>
      </c>
      <c r="E36" s="23">
        <v>128.41</v>
      </c>
      <c r="F36" s="77">
        <v>1.04</v>
      </c>
      <c r="G36" s="77">
        <v>0.32</v>
      </c>
      <c r="H36" s="77">
        <v>-0.71</v>
      </c>
      <c r="I36" s="77">
        <v>0.46</v>
      </c>
    </row>
    <row r="37" spans="1:9">
      <c r="A37" s="27" t="s">
        <v>326</v>
      </c>
      <c r="B37" s="23">
        <v>11.15</v>
      </c>
      <c r="C37" s="23">
        <v>12.79</v>
      </c>
      <c r="D37" s="23">
        <v>7.96</v>
      </c>
      <c r="E37" s="23">
        <v>31.9</v>
      </c>
      <c r="F37" s="77">
        <v>0.15</v>
      </c>
      <c r="G37" s="77">
        <v>0</v>
      </c>
      <c r="H37" s="78">
        <v>-8.5000000000000006E-2</v>
      </c>
      <c r="I37" s="77">
        <v>0.02</v>
      </c>
    </row>
    <row r="38" spans="1:9">
      <c r="A38" s="27" t="s">
        <v>137</v>
      </c>
      <c r="B38" s="23">
        <v>0</v>
      </c>
      <c r="C38" s="23">
        <v>0.09</v>
      </c>
      <c r="D38" s="23">
        <v>0</v>
      </c>
      <c r="E38" s="23">
        <v>0.09</v>
      </c>
      <c r="F38" s="77">
        <v>0</v>
      </c>
      <c r="G38" s="23" t="s">
        <v>345</v>
      </c>
      <c r="H38" s="77">
        <v>0</v>
      </c>
      <c r="I38" s="23" t="s">
        <v>345</v>
      </c>
    </row>
    <row r="39" spans="1:9">
      <c r="A39" s="26" t="s">
        <v>114</v>
      </c>
      <c r="B39" s="25">
        <v>95.05</v>
      </c>
      <c r="C39" s="25">
        <v>167.62</v>
      </c>
      <c r="D39" s="25">
        <v>8.5299999999999994</v>
      </c>
      <c r="E39" s="25">
        <v>271.20999999999998</v>
      </c>
      <c r="F39" s="79">
        <v>0.78</v>
      </c>
      <c r="G39" s="79">
        <v>0.32</v>
      </c>
      <c r="H39" s="79">
        <v>-0.15</v>
      </c>
      <c r="I39" s="45">
        <v>0.42499999999999999</v>
      </c>
    </row>
  </sheetData>
  <mergeCells count="10">
    <mergeCell ref="F26:I26"/>
    <mergeCell ref="A33:E33"/>
    <mergeCell ref="A26:E26"/>
    <mergeCell ref="A19:E19"/>
    <mergeCell ref="F33:I33"/>
    <mergeCell ref="A3:E3"/>
    <mergeCell ref="F3:I3"/>
    <mergeCell ref="A12:E12"/>
    <mergeCell ref="F12:I12"/>
    <mergeCell ref="F19:I19"/>
  </mergeCells>
  <hyperlinks>
    <hyperlink ref="A1" location="Inhoud!A1" display="Terug naar inhoud" xr:uid="{1A535075-E118-4F01-8A79-4628DBC14807}"/>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4D61E-C4BD-42EC-AB8A-B71FFB7DE5A6}">
  <dimension ref="A1:F12"/>
  <sheetViews>
    <sheetView workbookViewId="0">
      <selection activeCell="A13" sqref="A13"/>
    </sheetView>
  </sheetViews>
  <sheetFormatPr defaultColWidth="9.109375" defaultRowHeight="14.4"/>
  <cols>
    <col min="1" max="1" width="18.88671875" style="34" customWidth="1"/>
    <col min="2" max="6" width="15.6640625" style="34" customWidth="1"/>
    <col min="7" max="7" width="22.44140625" style="34" customWidth="1"/>
    <col min="8" max="16384" width="9.109375" style="34"/>
  </cols>
  <sheetData>
    <row r="1" spans="1:6">
      <c r="A1" s="226" t="s">
        <v>87</v>
      </c>
    </row>
    <row r="2" spans="1:6">
      <c r="A2" s="3" t="s">
        <v>348</v>
      </c>
    </row>
    <row r="3" spans="1:6" s="76" customFormat="1" ht="43.2">
      <c r="A3" s="212" t="s">
        <v>124</v>
      </c>
      <c r="B3" s="25" t="s">
        <v>96</v>
      </c>
      <c r="C3" s="25" t="s">
        <v>97</v>
      </c>
      <c r="D3" s="25" t="s">
        <v>98</v>
      </c>
      <c r="E3" s="25" t="s">
        <v>99</v>
      </c>
      <c r="F3" s="25" t="s">
        <v>196</v>
      </c>
    </row>
    <row r="4" spans="1:6">
      <c r="A4" s="80" t="s">
        <v>131</v>
      </c>
      <c r="B4" s="206">
        <v>9841</v>
      </c>
      <c r="C4" s="206">
        <v>9964</v>
      </c>
      <c r="D4" s="206">
        <v>11207</v>
      </c>
      <c r="E4" s="206">
        <v>12498</v>
      </c>
      <c r="F4" s="209">
        <f>(E4-D4)/D4</f>
        <v>0.11519585973052557</v>
      </c>
    </row>
    <row r="5" spans="1:6">
      <c r="A5" s="80" t="s">
        <v>136</v>
      </c>
      <c r="B5" s="207">
        <v>11656</v>
      </c>
      <c r="C5" s="207">
        <v>12106</v>
      </c>
      <c r="D5" s="207">
        <v>14081</v>
      </c>
      <c r="E5" s="207">
        <v>15957</v>
      </c>
      <c r="F5" s="209">
        <f t="shared" ref="F5:F10" si="0">(E5-D5)/D5</f>
        <v>0.13322917406434201</v>
      </c>
    </row>
    <row r="6" spans="1:6">
      <c r="A6" s="80" t="s">
        <v>135</v>
      </c>
      <c r="B6" s="206">
        <v>864</v>
      </c>
      <c r="C6" s="206">
        <v>887</v>
      </c>
      <c r="D6" s="206">
        <v>967</v>
      </c>
      <c r="E6" s="206">
        <v>936</v>
      </c>
      <c r="F6" s="209">
        <f t="shared" si="0"/>
        <v>-3.2057911065149949E-2</v>
      </c>
    </row>
    <row r="7" spans="1:6">
      <c r="A7" s="80" t="s">
        <v>134</v>
      </c>
      <c r="B7" s="206">
        <v>268</v>
      </c>
      <c r="C7" s="206">
        <v>247</v>
      </c>
      <c r="D7" s="206">
        <v>242</v>
      </c>
      <c r="E7" s="206">
        <v>282</v>
      </c>
      <c r="F7" s="209">
        <f t="shared" si="0"/>
        <v>0.16528925619834711</v>
      </c>
    </row>
    <row r="8" spans="1:6">
      <c r="A8" s="80" t="s">
        <v>349</v>
      </c>
      <c r="B8" s="206">
        <v>119</v>
      </c>
      <c r="C8" s="206">
        <v>133</v>
      </c>
      <c r="D8" s="206">
        <v>142</v>
      </c>
      <c r="E8" s="206">
        <v>135</v>
      </c>
      <c r="F8" s="209">
        <f t="shared" si="0"/>
        <v>-4.9295774647887321E-2</v>
      </c>
    </row>
    <row r="9" spans="1:6">
      <c r="A9" s="80" t="s">
        <v>137</v>
      </c>
      <c r="B9" s="206">
        <v>114</v>
      </c>
      <c r="C9" s="206">
        <v>106</v>
      </c>
      <c r="D9" s="206">
        <v>119</v>
      </c>
      <c r="E9" s="206">
        <v>116</v>
      </c>
      <c r="F9" s="209">
        <f t="shared" si="0"/>
        <v>-2.5210084033613446E-2</v>
      </c>
    </row>
    <row r="10" spans="1:6">
      <c r="A10" s="20" t="s">
        <v>114</v>
      </c>
      <c r="B10" s="208">
        <f>SUM(B4:B9)</f>
        <v>22862</v>
      </c>
      <c r="C10" s="208">
        <f>SUM(C4:C9)</f>
        <v>23443</v>
      </c>
      <c r="D10" s="208">
        <f>SUM(D4:D9)</f>
        <v>26758</v>
      </c>
      <c r="E10" s="208">
        <f>SUM(E4:E9)</f>
        <v>29924</v>
      </c>
      <c r="F10" s="273">
        <f t="shared" si="0"/>
        <v>0.11831975483967412</v>
      </c>
    </row>
    <row r="12" spans="1:6">
      <c r="A12" s="34" t="s">
        <v>350</v>
      </c>
    </row>
  </sheetData>
  <hyperlinks>
    <hyperlink ref="A1" location="Inhoud!A1" display="Terug naar inhoud" xr:uid="{010E06A1-30BD-42DE-9BAF-E54E154C3837}"/>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DBE6-6633-401A-A1AC-844FFC4781F4}">
  <dimension ref="A1:G13"/>
  <sheetViews>
    <sheetView workbookViewId="0"/>
  </sheetViews>
  <sheetFormatPr defaultColWidth="9.109375" defaultRowHeight="14.4"/>
  <cols>
    <col min="1" max="1" width="15.33203125" style="34" customWidth="1"/>
    <col min="2" max="2" width="18.109375" style="34" customWidth="1"/>
    <col min="3" max="8" width="15.6640625" style="34" customWidth="1"/>
    <col min="9" max="16384" width="9.109375" style="34"/>
  </cols>
  <sheetData>
    <row r="1" spans="1:7">
      <c r="A1" s="226" t="s">
        <v>87</v>
      </c>
    </row>
    <row r="2" spans="1:7">
      <c r="A2" s="88" t="s">
        <v>351</v>
      </c>
    </row>
    <row r="3" spans="1:7" ht="43.2">
      <c r="A3" s="30" t="s">
        <v>352</v>
      </c>
      <c r="B3" s="30" t="s">
        <v>353</v>
      </c>
      <c r="C3" s="25" t="s">
        <v>96</v>
      </c>
      <c r="D3" s="25" t="s">
        <v>97</v>
      </c>
      <c r="E3" s="25" t="s">
        <v>98</v>
      </c>
      <c r="F3" s="25" t="s">
        <v>99</v>
      </c>
      <c r="G3" s="25" t="s">
        <v>196</v>
      </c>
    </row>
    <row r="4" spans="1:7">
      <c r="A4" s="331" t="s">
        <v>131</v>
      </c>
      <c r="B4" s="80" t="s">
        <v>354</v>
      </c>
      <c r="C4" s="23">
        <v>14</v>
      </c>
      <c r="D4" s="23">
        <v>13</v>
      </c>
      <c r="E4" s="215">
        <v>13</v>
      </c>
      <c r="F4" s="277">
        <v>75</v>
      </c>
      <c r="G4" s="217">
        <f>(F4-E4)/E4</f>
        <v>4.7692307692307692</v>
      </c>
    </row>
    <row r="5" spans="1:7">
      <c r="A5" s="332"/>
      <c r="B5" s="80" t="s">
        <v>355</v>
      </c>
      <c r="C5" s="23">
        <v>418</v>
      </c>
      <c r="D5" s="23">
        <v>452</v>
      </c>
      <c r="E5" s="215">
        <v>466</v>
      </c>
      <c r="F5" s="277">
        <v>375</v>
      </c>
      <c r="G5" s="217">
        <f t="shared" ref="G5:G13" si="0">(F5-E5)/E5</f>
        <v>-0.19527896995708155</v>
      </c>
    </row>
    <row r="6" spans="1:7" ht="30" customHeight="1">
      <c r="A6" s="333"/>
      <c r="B6" s="80" t="s">
        <v>356</v>
      </c>
      <c r="C6" s="43">
        <v>2383</v>
      </c>
      <c r="D6" s="43">
        <v>1963</v>
      </c>
      <c r="E6" s="161">
        <v>2155</v>
      </c>
      <c r="F6" s="278">
        <v>1988</v>
      </c>
      <c r="G6" s="217">
        <f t="shared" si="0"/>
        <v>-7.7494199535962871E-2</v>
      </c>
    </row>
    <row r="7" spans="1:7">
      <c r="A7" s="331" t="s">
        <v>136</v>
      </c>
      <c r="B7" s="80" t="s">
        <v>354</v>
      </c>
      <c r="C7" s="43">
        <v>1331</v>
      </c>
      <c r="D7" s="43">
        <v>1066</v>
      </c>
      <c r="E7" s="215">
        <v>302</v>
      </c>
      <c r="F7" s="277">
        <v>40</v>
      </c>
      <c r="G7" s="217">
        <f t="shared" si="0"/>
        <v>-0.86754966887417218</v>
      </c>
    </row>
    <row r="8" spans="1:7">
      <c r="A8" s="332"/>
      <c r="B8" s="80" t="s">
        <v>355</v>
      </c>
      <c r="C8" s="23">
        <v>394</v>
      </c>
      <c r="D8" s="23">
        <v>479</v>
      </c>
      <c r="E8" s="215">
        <v>655</v>
      </c>
      <c r="F8" s="277">
        <v>465</v>
      </c>
      <c r="G8" s="217">
        <f t="shared" si="0"/>
        <v>-0.29007633587786258</v>
      </c>
    </row>
    <row r="9" spans="1:7" ht="30" customHeight="1">
      <c r="A9" s="333"/>
      <c r="B9" s="80" t="s">
        <v>356</v>
      </c>
      <c r="C9" s="43">
        <v>2521</v>
      </c>
      <c r="D9" s="43">
        <v>2795</v>
      </c>
      <c r="E9" s="161">
        <v>2998</v>
      </c>
      <c r="F9" s="278">
        <v>2738</v>
      </c>
      <c r="G9" s="217">
        <f t="shared" si="0"/>
        <v>-8.6724482988659105E-2</v>
      </c>
    </row>
    <row r="10" spans="1:7">
      <c r="A10" s="334" t="s">
        <v>135</v>
      </c>
      <c r="B10" s="80" t="s">
        <v>354</v>
      </c>
      <c r="C10" s="23">
        <v>0</v>
      </c>
      <c r="D10" s="23">
        <v>0</v>
      </c>
      <c r="E10" s="215">
        <v>0</v>
      </c>
      <c r="F10" s="215">
        <v>0</v>
      </c>
      <c r="G10" s="217">
        <v>0</v>
      </c>
    </row>
    <row r="11" spans="1:7">
      <c r="A11" s="335"/>
      <c r="B11" s="80" t="s">
        <v>355</v>
      </c>
      <c r="C11" s="23">
        <v>41</v>
      </c>
      <c r="D11" s="23">
        <v>60</v>
      </c>
      <c r="E11" s="215">
        <v>62</v>
      </c>
      <c r="F11" s="277">
        <v>41</v>
      </c>
      <c r="G11" s="217">
        <f t="shared" si="0"/>
        <v>-0.33870967741935482</v>
      </c>
    </row>
    <row r="12" spans="1:7" ht="30" customHeight="1">
      <c r="A12" s="336"/>
      <c r="B12" s="80" t="s">
        <v>356</v>
      </c>
      <c r="C12" s="23">
        <v>10</v>
      </c>
      <c r="D12" s="23">
        <v>15</v>
      </c>
      <c r="E12" s="215">
        <v>17</v>
      </c>
      <c r="F12" s="277">
        <v>33</v>
      </c>
      <c r="G12" s="217">
        <f t="shared" si="0"/>
        <v>0.94117647058823528</v>
      </c>
    </row>
    <row r="13" spans="1:7">
      <c r="A13" s="330" t="s">
        <v>114</v>
      </c>
      <c r="B13" s="330"/>
      <c r="C13" s="25">
        <v>7112</v>
      </c>
      <c r="D13" s="44">
        <v>6843</v>
      </c>
      <c r="E13" s="216">
        <f>SUM(E4:E12)</f>
        <v>6668</v>
      </c>
      <c r="F13" s="216">
        <v>5755</v>
      </c>
      <c r="G13" s="218">
        <f t="shared" si="0"/>
        <v>-0.13692261547690462</v>
      </c>
    </row>
  </sheetData>
  <mergeCells count="4">
    <mergeCell ref="A13:B13"/>
    <mergeCell ref="A4:A6"/>
    <mergeCell ref="A7:A9"/>
    <mergeCell ref="A10:A12"/>
  </mergeCells>
  <hyperlinks>
    <hyperlink ref="A1" location="Inhoud!A1" display="Terug naar inhoud" xr:uid="{0C72C6C8-E5A7-45ED-B707-07B789FBB418}"/>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5592-91A6-4E18-A155-C461E4700295}">
  <dimension ref="A1:F9"/>
  <sheetViews>
    <sheetView workbookViewId="0">
      <selection activeCell="A3" sqref="A3"/>
    </sheetView>
  </sheetViews>
  <sheetFormatPr defaultColWidth="9.109375" defaultRowHeight="14.4"/>
  <cols>
    <col min="1" max="1" width="28.33203125" style="2" customWidth="1"/>
    <col min="2" max="5" width="5" style="2" bestFit="1" customWidth="1"/>
    <col min="6" max="16384" width="9.109375" style="2"/>
  </cols>
  <sheetData>
    <row r="1" spans="1:6">
      <c r="A1" s="226" t="s">
        <v>87</v>
      </c>
    </row>
    <row r="2" spans="1:6">
      <c r="A2" s="223" t="s">
        <v>357</v>
      </c>
    </row>
    <row r="3" spans="1:6">
      <c r="A3" s="50" t="s">
        <v>358</v>
      </c>
      <c r="B3" s="18">
        <v>2018</v>
      </c>
      <c r="C3" s="18">
        <v>2019</v>
      </c>
      <c r="D3" s="18">
        <v>2020</v>
      </c>
      <c r="E3" s="18">
        <v>2021</v>
      </c>
      <c r="F3" s="18">
        <v>2022</v>
      </c>
    </row>
    <row r="4" spans="1:6">
      <c r="A4" s="51" t="s">
        <v>359</v>
      </c>
      <c r="B4" s="17">
        <v>5</v>
      </c>
      <c r="C4" s="17">
        <v>5</v>
      </c>
      <c r="D4" s="17">
        <v>3</v>
      </c>
      <c r="E4" s="17">
        <v>3</v>
      </c>
      <c r="F4" s="17">
        <v>3</v>
      </c>
    </row>
    <row r="5" spans="1:6">
      <c r="A5" s="51" t="s">
        <v>360</v>
      </c>
      <c r="B5" s="17">
        <v>1</v>
      </c>
      <c r="C5" s="17">
        <v>1</v>
      </c>
      <c r="D5" s="17">
        <v>1</v>
      </c>
      <c r="E5" s="17">
        <v>0</v>
      </c>
      <c r="F5" s="17">
        <v>0</v>
      </c>
    </row>
    <row r="6" spans="1:6">
      <c r="A6" s="51" t="s">
        <v>361</v>
      </c>
      <c r="B6" s="17">
        <v>0</v>
      </c>
      <c r="C6" s="17">
        <v>0</v>
      </c>
      <c r="D6" s="17">
        <v>0</v>
      </c>
      <c r="E6" s="17">
        <v>0</v>
      </c>
      <c r="F6" s="17">
        <v>0</v>
      </c>
    </row>
    <row r="7" spans="1:6">
      <c r="A7" s="51" t="s">
        <v>362</v>
      </c>
      <c r="B7" s="17">
        <v>1</v>
      </c>
      <c r="C7" s="17">
        <v>1</v>
      </c>
      <c r="D7" s="17">
        <v>0</v>
      </c>
      <c r="E7" s="17">
        <v>0</v>
      </c>
      <c r="F7" s="17">
        <v>0</v>
      </c>
    </row>
    <row r="8" spans="1:6">
      <c r="A8" s="51" t="s">
        <v>363</v>
      </c>
      <c r="B8" s="17">
        <v>0</v>
      </c>
      <c r="C8" s="17">
        <v>0</v>
      </c>
      <c r="D8" s="17">
        <v>0</v>
      </c>
      <c r="E8" s="17">
        <v>0</v>
      </c>
      <c r="F8" s="17">
        <v>0</v>
      </c>
    </row>
    <row r="9" spans="1:6">
      <c r="A9" s="50" t="s">
        <v>114</v>
      </c>
      <c r="B9" s="18">
        <v>7</v>
      </c>
      <c r="C9" s="18">
        <v>7</v>
      </c>
      <c r="D9" s="18">
        <v>4</v>
      </c>
      <c r="E9" s="18">
        <v>3</v>
      </c>
      <c r="F9" s="18">
        <v>3</v>
      </c>
    </row>
  </sheetData>
  <hyperlinks>
    <hyperlink ref="A1" location="Inhoud!A1" display="Terug naar inhoud" xr:uid="{E3265F97-65D1-4ECF-8104-9965FBB3A21C}"/>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4ECC-D72C-4543-9D96-38B03AC3AE11}">
  <dimension ref="A1:F11"/>
  <sheetViews>
    <sheetView workbookViewId="0">
      <selection activeCell="C14" sqref="C14"/>
    </sheetView>
  </sheetViews>
  <sheetFormatPr defaultRowHeight="14.4"/>
  <cols>
    <col min="1" max="1" width="33.109375" customWidth="1"/>
    <col min="2" max="2" width="15.6640625" customWidth="1"/>
    <col min="3" max="3" width="15.5546875" customWidth="1"/>
    <col min="4" max="5" width="14.88671875" customWidth="1"/>
    <col min="6" max="6" width="16.6640625" customWidth="1"/>
  </cols>
  <sheetData>
    <row r="1" spans="1:6">
      <c r="A1" s="226" t="s">
        <v>87</v>
      </c>
    </row>
    <row r="2" spans="1:6">
      <c r="A2" s="35" t="s">
        <v>364</v>
      </c>
    </row>
    <row r="4" spans="1:6" ht="57.6">
      <c r="A4" s="268" t="s">
        <v>124</v>
      </c>
      <c r="B4" s="295" t="s">
        <v>365</v>
      </c>
      <c r="C4" s="295" t="s">
        <v>366</v>
      </c>
      <c r="D4" s="295" t="s">
        <v>367</v>
      </c>
      <c r="E4" s="295" t="s">
        <v>195</v>
      </c>
      <c r="F4" s="295" t="s">
        <v>368</v>
      </c>
    </row>
    <row r="5" spans="1:6">
      <c r="A5" s="174" t="s">
        <v>107</v>
      </c>
      <c r="B5" s="242">
        <v>12715</v>
      </c>
      <c r="C5" s="242">
        <v>13858</v>
      </c>
      <c r="D5" s="242">
        <v>14214</v>
      </c>
      <c r="E5" s="242">
        <v>16542</v>
      </c>
      <c r="F5" s="176">
        <v>0.1638</v>
      </c>
    </row>
    <row r="6" spans="1:6">
      <c r="A6" s="174" t="s">
        <v>108</v>
      </c>
      <c r="B6" s="242">
        <v>1886</v>
      </c>
      <c r="C6" s="242">
        <v>2007</v>
      </c>
      <c r="D6" s="242">
        <v>2017</v>
      </c>
      <c r="E6" s="242">
        <v>2407</v>
      </c>
      <c r="F6" s="176">
        <v>0.19339999999999999</v>
      </c>
    </row>
    <row r="7" spans="1:6">
      <c r="A7" s="174" t="s">
        <v>109</v>
      </c>
      <c r="B7" s="242">
        <v>12861</v>
      </c>
      <c r="C7" s="242">
        <v>12166</v>
      </c>
      <c r="D7" s="242">
        <v>12621</v>
      </c>
      <c r="E7" s="242">
        <v>15892</v>
      </c>
      <c r="F7" s="176">
        <v>0.25919999999999999</v>
      </c>
    </row>
    <row r="8" spans="1:6">
      <c r="A8" s="174" t="s">
        <v>110</v>
      </c>
      <c r="B8" s="242">
        <v>2183</v>
      </c>
      <c r="C8" s="242">
        <v>2227</v>
      </c>
      <c r="D8" s="242">
        <v>2437</v>
      </c>
      <c r="E8" s="242">
        <v>2930</v>
      </c>
      <c r="F8" s="176">
        <v>0.20230000000000001</v>
      </c>
    </row>
    <row r="9" spans="1:6">
      <c r="A9" s="263" t="s">
        <v>114</v>
      </c>
      <c r="B9" s="257">
        <v>28598</v>
      </c>
      <c r="C9" s="257">
        <v>29149</v>
      </c>
      <c r="D9" s="257">
        <v>30053</v>
      </c>
      <c r="E9" s="257">
        <v>37771</v>
      </c>
      <c r="F9" s="255">
        <v>0.25679999999999997</v>
      </c>
    </row>
    <row r="11" spans="1:6">
      <c r="A11" s="264" t="s">
        <v>369</v>
      </c>
    </row>
  </sheetData>
  <hyperlinks>
    <hyperlink ref="A1" location="Inhoud!A1" display="Terug naar inhoud" xr:uid="{F228F085-91AC-428A-9907-E11B3F48199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3C440-2C6E-43C3-8F84-A5D95F6BB148}">
  <dimension ref="A1:H17"/>
  <sheetViews>
    <sheetView workbookViewId="0">
      <selection activeCell="E18" sqref="E18"/>
    </sheetView>
  </sheetViews>
  <sheetFormatPr defaultColWidth="9.109375" defaultRowHeight="14.4"/>
  <cols>
    <col min="1" max="1" width="32.33203125" style="2" customWidth="1"/>
    <col min="2" max="2" width="11.6640625" style="2" bestFit="1" customWidth="1"/>
    <col min="3" max="3" width="14.5546875" style="2" customWidth="1"/>
    <col min="4" max="6" width="12.88671875" style="2" customWidth="1"/>
    <col min="7" max="7" width="12.6640625" style="2" customWidth="1"/>
    <col min="8" max="16384" width="9.109375" style="2"/>
  </cols>
  <sheetData>
    <row r="1" spans="1:8">
      <c r="A1" s="226" t="s">
        <v>87</v>
      </c>
    </row>
    <row r="2" spans="1:8">
      <c r="A2" s="3" t="s">
        <v>101</v>
      </c>
    </row>
    <row r="3" spans="1:8" ht="43.2">
      <c r="A3" s="131"/>
      <c r="B3" s="133" t="s">
        <v>102</v>
      </c>
      <c r="C3" s="133" t="s">
        <v>103</v>
      </c>
      <c r="D3" s="133" t="s">
        <v>104</v>
      </c>
      <c r="E3" s="133" t="s">
        <v>105</v>
      </c>
      <c r="F3" s="134" t="s">
        <v>106</v>
      </c>
    </row>
    <row r="4" spans="1:8">
      <c r="A4" s="6" t="s">
        <v>107</v>
      </c>
      <c r="B4" s="7">
        <v>67516</v>
      </c>
      <c r="C4" s="8">
        <v>68403</v>
      </c>
      <c r="D4" s="199">
        <v>69131</v>
      </c>
      <c r="E4" s="199">
        <v>71235</v>
      </c>
      <c r="F4" s="201">
        <f>(E4-D4)/D4</f>
        <v>3.0434971286398289E-2</v>
      </c>
      <c r="H4" s="112"/>
    </row>
    <row r="5" spans="1:8">
      <c r="A5" s="6" t="s">
        <v>108</v>
      </c>
      <c r="B5" s="7">
        <v>10197</v>
      </c>
      <c r="C5" s="8">
        <v>10482</v>
      </c>
      <c r="D5" s="199">
        <v>11117</v>
      </c>
      <c r="E5" s="199">
        <v>11285</v>
      </c>
      <c r="F5" s="201">
        <f t="shared" ref="F5:F11" si="0">(E5-D5)/D5</f>
        <v>1.5111990644958172E-2</v>
      </c>
      <c r="H5" s="112"/>
    </row>
    <row r="6" spans="1:8">
      <c r="A6" s="6" t="s">
        <v>109</v>
      </c>
      <c r="B6" s="7">
        <v>66770</v>
      </c>
      <c r="C6" s="8">
        <v>67862</v>
      </c>
      <c r="D6" s="199">
        <v>68443</v>
      </c>
      <c r="E6" s="199">
        <v>70437</v>
      </c>
      <c r="F6" s="201">
        <f t="shared" si="0"/>
        <v>2.9133731718364187E-2</v>
      </c>
      <c r="H6" s="112"/>
    </row>
    <row r="7" spans="1:8">
      <c r="A7" s="6" t="s">
        <v>110</v>
      </c>
      <c r="B7" s="7">
        <v>9595</v>
      </c>
      <c r="C7" s="8">
        <v>9940</v>
      </c>
      <c r="D7" s="199">
        <v>10364</v>
      </c>
      <c r="E7" s="199">
        <v>10815</v>
      </c>
      <c r="F7" s="201">
        <f t="shared" si="0"/>
        <v>4.3516016981860285E-2</v>
      </c>
      <c r="H7" s="112"/>
    </row>
    <row r="8" spans="1:8">
      <c r="A8" s="6" t="s">
        <v>111</v>
      </c>
      <c r="B8" s="7">
        <v>1572</v>
      </c>
      <c r="C8" s="8">
        <v>1497</v>
      </c>
      <c r="D8" s="199">
        <v>1513</v>
      </c>
      <c r="E8" s="199">
        <v>1584</v>
      </c>
      <c r="F8" s="201">
        <f t="shared" si="0"/>
        <v>4.6926635822868476E-2</v>
      </c>
      <c r="H8" s="112"/>
    </row>
    <row r="9" spans="1:8">
      <c r="A9" s="6" t="s">
        <v>112</v>
      </c>
      <c r="B9" s="7">
        <v>5846</v>
      </c>
      <c r="C9" s="8">
        <v>6041</v>
      </c>
      <c r="D9" s="199">
        <v>6149</v>
      </c>
      <c r="E9" s="199">
        <v>6260</v>
      </c>
      <c r="F9" s="201">
        <f t="shared" si="0"/>
        <v>1.8051715726134329E-2</v>
      </c>
      <c r="H9" s="112"/>
    </row>
    <row r="10" spans="1:8">
      <c r="A10" s="6" t="s">
        <v>113</v>
      </c>
      <c r="B10" s="7">
        <v>6108</v>
      </c>
      <c r="C10" s="8">
        <v>6149</v>
      </c>
      <c r="D10" s="199">
        <v>6163</v>
      </c>
      <c r="E10" s="199">
        <v>6182</v>
      </c>
      <c r="F10" s="201">
        <f t="shared" si="0"/>
        <v>3.082914165179296E-3</v>
      </c>
      <c r="H10" s="112"/>
    </row>
    <row r="11" spans="1:8">
      <c r="A11" s="10" t="s">
        <v>114</v>
      </c>
      <c r="B11" s="11">
        <v>167604</v>
      </c>
      <c r="C11" s="12">
        <v>170374</v>
      </c>
      <c r="D11" s="200">
        <f>SUM(D4:D10)</f>
        <v>172880</v>
      </c>
      <c r="E11" s="200">
        <f>SUM(E4:E10)</f>
        <v>177798</v>
      </c>
      <c r="F11" s="202">
        <f t="shared" si="0"/>
        <v>2.8447478019435448E-2</v>
      </c>
      <c r="H11" s="112"/>
    </row>
    <row r="12" spans="1:8" s="14" customFormat="1" ht="13.8">
      <c r="A12" s="115" t="s">
        <v>115</v>
      </c>
    </row>
    <row r="13" spans="1:8">
      <c r="A13" s="227" t="s">
        <v>116</v>
      </c>
      <c r="B13" s="4"/>
      <c r="C13" s="4"/>
      <c r="D13" s="4"/>
      <c r="E13" s="4"/>
      <c r="F13" s="4"/>
      <c r="G13" s="5"/>
    </row>
    <row r="14" spans="1:8">
      <c r="B14" s="4"/>
      <c r="C14" s="4"/>
      <c r="D14" s="4"/>
      <c r="E14" s="4"/>
      <c r="F14" s="4"/>
      <c r="G14" s="5"/>
    </row>
    <row r="15" spans="1:8">
      <c r="B15" s="4"/>
      <c r="C15" s="4"/>
      <c r="D15" s="4"/>
      <c r="E15" s="4"/>
      <c r="F15" s="4"/>
      <c r="G15" s="5"/>
    </row>
    <row r="16" spans="1:8">
      <c r="B16" s="4"/>
      <c r="C16" s="4"/>
      <c r="D16" s="4"/>
      <c r="E16" s="4"/>
      <c r="F16" s="4"/>
      <c r="G16" s="5"/>
    </row>
    <row r="17" spans="2:7">
      <c r="B17" s="4"/>
      <c r="C17" s="4"/>
      <c r="D17" s="4"/>
      <c r="E17" s="4"/>
      <c r="F17" s="4"/>
      <c r="G17" s="5"/>
    </row>
  </sheetData>
  <hyperlinks>
    <hyperlink ref="A1" location="Inhoud!A1" display="Terug naar inhoud" xr:uid="{4314A953-57EF-4CE4-9A21-8FE3C8B5995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B884-1B55-434C-9C3E-C6CDD31B889A}">
  <dimension ref="A1:F9"/>
  <sheetViews>
    <sheetView workbookViewId="0">
      <selection activeCell="A2" sqref="A2"/>
    </sheetView>
  </sheetViews>
  <sheetFormatPr defaultRowHeight="14.4"/>
  <cols>
    <col min="1" max="1" width="31.5546875" customWidth="1"/>
    <col min="2" max="3" width="11.109375" customWidth="1"/>
    <col min="4" max="5" width="10.5546875" customWidth="1"/>
    <col min="6" max="6" width="13.6640625" customWidth="1"/>
  </cols>
  <sheetData>
    <row r="1" spans="1:6">
      <c r="A1" s="226" t="s">
        <v>87</v>
      </c>
    </row>
    <row r="2" spans="1:6">
      <c r="A2" s="35" t="s">
        <v>370</v>
      </c>
    </row>
    <row r="4" spans="1:6" ht="57.6">
      <c r="A4" s="268" t="s">
        <v>124</v>
      </c>
      <c r="B4" s="295" t="s">
        <v>371</v>
      </c>
      <c r="C4" s="295" t="s">
        <v>372</v>
      </c>
      <c r="D4" s="295" t="s">
        <v>373</v>
      </c>
      <c r="E4" s="295" t="s">
        <v>374</v>
      </c>
      <c r="F4" s="295" t="s">
        <v>375</v>
      </c>
    </row>
    <row r="5" spans="1:6">
      <c r="A5" s="174" t="s">
        <v>107</v>
      </c>
      <c r="B5" s="265">
        <v>531.12</v>
      </c>
      <c r="C5" s="265">
        <v>693.41</v>
      </c>
      <c r="D5" s="282">
        <v>628.9</v>
      </c>
      <c r="E5" s="282">
        <v>1080.5</v>
      </c>
      <c r="F5" s="176">
        <v>0.71809999999999996</v>
      </c>
    </row>
    <row r="6" spans="1:6">
      <c r="A6" s="174" t="s">
        <v>108</v>
      </c>
      <c r="B6" s="265">
        <v>115.13</v>
      </c>
      <c r="C6" s="265">
        <v>138.27000000000001</v>
      </c>
      <c r="D6" s="265">
        <v>131.12</v>
      </c>
      <c r="E6" s="282">
        <v>208.1</v>
      </c>
      <c r="F6" s="176">
        <v>0.58709999999999996</v>
      </c>
    </row>
    <row r="7" spans="1:6">
      <c r="A7" s="174" t="s">
        <v>109</v>
      </c>
      <c r="B7" s="265">
        <v>655.32000000000005</v>
      </c>
      <c r="C7" s="265">
        <v>714.07</v>
      </c>
      <c r="D7" s="265">
        <v>653.39</v>
      </c>
      <c r="E7" s="283">
        <v>1111.9100000000001</v>
      </c>
      <c r="F7" s="176">
        <v>0.70179999999999998</v>
      </c>
    </row>
    <row r="8" spans="1:6">
      <c r="A8" s="174" t="s">
        <v>110</v>
      </c>
      <c r="B8" s="265">
        <v>141.43</v>
      </c>
      <c r="C8" s="282">
        <v>173.9</v>
      </c>
      <c r="D8" s="265">
        <v>172.26</v>
      </c>
      <c r="E8" s="265">
        <v>263.48</v>
      </c>
      <c r="F8" s="176">
        <v>0.52949999999999997</v>
      </c>
    </row>
    <row r="9" spans="1:6">
      <c r="A9" s="263" t="s">
        <v>114</v>
      </c>
      <c r="B9" s="266">
        <v>1443</v>
      </c>
      <c r="C9" s="266">
        <v>1719.65</v>
      </c>
      <c r="D9" s="266">
        <v>1585.67</v>
      </c>
      <c r="E9" s="266">
        <v>2663.9900000000002</v>
      </c>
      <c r="F9" s="284">
        <v>0.68</v>
      </c>
    </row>
  </sheetData>
  <hyperlinks>
    <hyperlink ref="A1" location="Inhoud!A1" display="Terug naar inhoud" xr:uid="{E4428CEA-7109-481C-82BB-C09289DF6BB6}"/>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E9A3-654D-402C-A3B5-0D4648EF5341}">
  <dimension ref="A1:G8"/>
  <sheetViews>
    <sheetView workbookViewId="0"/>
  </sheetViews>
  <sheetFormatPr defaultColWidth="9.109375" defaultRowHeight="14.4"/>
  <cols>
    <col min="1" max="1" width="34.6640625" style="2" customWidth="1"/>
    <col min="2" max="4" width="16.109375" style="2" bestFit="1" customWidth="1"/>
    <col min="5" max="6" width="16.109375" style="2" customWidth="1"/>
    <col min="7" max="7" width="13.44140625" style="2" bestFit="1" customWidth="1"/>
    <col min="8" max="16384" width="9.109375" style="2"/>
  </cols>
  <sheetData>
    <row r="1" spans="1:7">
      <c r="A1" s="226" t="s">
        <v>87</v>
      </c>
    </row>
    <row r="2" spans="1:7" s="34" customFormat="1">
      <c r="A2" s="3" t="s">
        <v>376</v>
      </c>
    </row>
    <row r="3" spans="1:7" ht="57.6">
      <c r="A3" s="30"/>
      <c r="B3" s="25" t="s">
        <v>191</v>
      </c>
      <c r="C3" s="25" t="s">
        <v>192</v>
      </c>
      <c r="D3" s="25" t="s">
        <v>193</v>
      </c>
      <c r="E3" s="25" t="s">
        <v>194</v>
      </c>
      <c r="F3" s="25" t="s">
        <v>195</v>
      </c>
      <c r="G3" s="25" t="s">
        <v>196</v>
      </c>
    </row>
    <row r="4" spans="1:7">
      <c r="A4" s="32" t="s">
        <v>377</v>
      </c>
      <c r="B4" s="23">
        <v>92</v>
      </c>
      <c r="C4" s="24">
        <v>91</v>
      </c>
      <c r="D4" s="23">
        <v>74</v>
      </c>
      <c r="E4" s="23">
        <v>88</v>
      </c>
      <c r="F4" s="215">
        <v>86</v>
      </c>
      <c r="G4" s="103">
        <f>SUM(F4-E4)/E4</f>
        <v>-2.2727272727272728E-2</v>
      </c>
    </row>
    <row r="5" spans="1:7">
      <c r="A5" s="32" t="s">
        <v>378</v>
      </c>
      <c r="B5" s="23">
        <v>9</v>
      </c>
      <c r="C5" s="24">
        <v>9</v>
      </c>
      <c r="D5" s="23">
        <v>6</v>
      </c>
      <c r="E5" s="23">
        <v>5</v>
      </c>
      <c r="F5" s="215">
        <v>4</v>
      </c>
      <c r="G5" s="103">
        <f t="shared" ref="G5:G8" si="0">SUM(F5-E5)/E5</f>
        <v>-0.2</v>
      </c>
    </row>
    <row r="6" spans="1:7">
      <c r="A6" s="32" t="s">
        <v>379</v>
      </c>
      <c r="B6" s="23">
        <v>4</v>
      </c>
      <c r="C6" s="24">
        <v>10</v>
      </c>
      <c r="D6" s="23">
        <v>11</v>
      </c>
      <c r="E6" s="23">
        <v>13</v>
      </c>
      <c r="F6" s="215">
        <v>13</v>
      </c>
      <c r="G6" s="103">
        <f t="shared" si="0"/>
        <v>0</v>
      </c>
    </row>
    <row r="7" spans="1:7">
      <c r="A7" s="32" t="s">
        <v>380</v>
      </c>
      <c r="B7" s="23">
        <v>32</v>
      </c>
      <c r="C7" s="24">
        <v>24</v>
      </c>
      <c r="D7" s="23">
        <v>21</v>
      </c>
      <c r="E7" s="23">
        <v>31</v>
      </c>
      <c r="F7" s="215">
        <v>22</v>
      </c>
      <c r="G7" s="103">
        <f t="shared" si="0"/>
        <v>-0.29032258064516131</v>
      </c>
    </row>
    <row r="8" spans="1:7">
      <c r="A8" s="30" t="s">
        <v>114</v>
      </c>
      <c r="B8" s="25">
        <v>137</v>
      </c>
      <c r="C8" s="31">
        <v>134</v>
      </c>
      <c r="D8" s="25">
        <v>112</v>
      </c>
      <c r="E8" s="25">
        <v>137</v>
      </c>
      <c r="F8" s="215">
        <v>125</v>
      </c>
      <c r="G8" s="103">
        <f t="shared" si="0"/>
        <v>-8.7591240875912413E-2</v>
      </c>
    </row>
  </sheetData>
  <hyperlinks>
    <hyperlink ref="A1" location="Inhoud!A1" display="Terug naar inhoud" xr:uid="{4524A1EA-B547-4C7D-86F3-E7C9AA8E906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15043-07E2-4121-82F4-D170B58B0E68}">
  <dimension ref="A1:G9"/>
  <sheetViews>
    <sheetView workbookViewId="0"/>
  </sheetViews>
  <sheetFormatPr defaultColWidth="9.109375" defaultRowHeight="14.4"/>
  <cols>
    <col min="1" max="1" width="23" style="34" customWidth="1"/>
    <col min="2" max="7" width="15.6640625" style="34" customWidth="1"/>
    <col min="8" max="16384" width="9.109375" style="34"/>
  </cols>
  <sheetData>
    <row r="1" spans="1:7">
      <c r="A1" s="226" t="s">
        <v>87</v>
      </c>
    </row>
    <row r="2" spans="1:7">
      <c r="A2" s="3" t="s">
        <v>381</v>
      </c>
    </row>
    <row r="3" spans="1:7" ht="43.2">
      <c r="A3" s="20" t="s">
        <v>382</v>
      </c>
      <c r="B3" s="25" t="s">
        <v>230</v>
      </c>
      <c r="C3" s="25" t="s">
        <v>231</v>
      </c>
      <c r="D3" s="25" t="s">
        <v>232</v>
      </c>
      <c r="E3" s="25" t="s">
        <v>233</v>
      </c>
      <c r="F3" s="25" t="s">
        <v>234</v>
      </c>
      <c r="G3" s="25" t="s">
        <v>196</v>
      </c>
    </row>
    <row r="4" spans="1:7">
      <c r="A4" s="80" t="s">
        <v>131</v>
      </c>
      <c r="B4" s="43">
        <v>3893</v>
      </c>
      <c r="C4" s="43">
        <v>4343</v>
      </c>
      <c r="D4" s="43">
        <v>3776</v>
      </c>
      <c r="E4" s="196">
        <v>4632</v>
      </c>
      <c r="F4" s="161">
        <v>5434</v>
      </c>
      <c r="G4" s="78">
        <f>SUM(F4-E4)/E4</f>
        <v>0.17314335060449051</v>
      </c>
    </row>
    <row r="5" spans="1:7">
      <c r="A5" s="80" t="s">
        <v>136</v>
      </c>
      <c r="B5" s="43">
        <v>4293</v>
      </c>
      <c r="C5" s="43">
        <v>4784</v>
      </c>
      <c r="D5" s="43">
        <v>4295</v>
      </c>
      <c r="E5" s="197">
        <v>5179</v>
      </c>
      <c r="F5" s="161">
        <v>6702</v>
      </c>
      <c r="G5" s="78">
        <f t="shared" ref="G5:G8" si="0">SUM(F5-E5)/E5</f>
        <v>0.29407221471326511</v>
      </c>
    </row>
    <row r="6" spans="1:7">
      <c r="A6" s="80" t="s">
        <v>112</v>
      </c>
      <c r="B6" s="23">
        <v>364</v>
      </c>
      <c r="C6" s="23">
        <v>490</v>
      </c>
      <c r="D6" s="23">
        <v>475</v>
      </c>
      <c r="E6" s="174">
        <v>457</v>
      </c>
      <c r="F6" s="215">
        <v>600</v>
      </c>
      <c r="G6" s="78">
        <f t="shared" si="0"/>
        <v>0.31291028446389496</v>
      </c>
    </row>
    <row r="7" spans="1:7" ht="28.8">
      <c r="A7" s="80" t="s">
        <v>383</v>
      </c>
      <c r="B7" s="23">
        <v>236</v>
      </c>
      <c r="C7" s="23">
        <v>341</v>
      </c>
      <c r="D7" s="23">
        <v>270</v>
      </c>
      <c r="E7" s="174">
        <v>549</v>
      </c>
      <c r="F7" s="215">
        <v>451</v>
      </c>
      <c r="G7" s="78">
        <f t="shared" si="0"/>
        <v>-0.1785063752276867</v>
      </c>
    </row>
    <row r="8" spans="1:7">
      <c r="A8" s="20" t="s">
        <v>384</v>
      </c>
      <c r="B8" s="44">
        <v>8393</v>
      </c>
      <c r="C8" s="44">
        <v>9500</v>
      </c>
      <c r="D8" s="44">
        <v>8505</v>
      </c>
      <c r="E8" s="256">
        <v>10385</v>
      </c>
      <c r="F8" s="270">
        <v>12762</v>
      </c>
      <c r="G8" s="78">
        <f t="shared" si="0"/>
        <v>0.22888781896966778</v>
      </c>
    </row>
    <row r="9" spans="1:7">
      <c r="A9" s="145" t="s">
        <v>385</v>
      </c>
    </row>
  </sheetData>
  <hyperlinks>
    <hyperlink ref="A1" location="Inhoud!A1" display="Terug naar inhoud" xr:uid="{9360C588-EBFF-4508-98BA-44782193078C}"/>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F54E-499D-41AD-9839-B170C5FBF158}">
  <dimension ref="A1:G6"/>
  <sheetViews>
    <sheetView workbookViewId="0">
      <selection activeCell="A2" sqref="A2"/>
    </sheetView>
  </sheetViews>
  <sheetFormatPr defaultColWidth="9.109375" defaultRowHeight="14.4"/>
  <cols>
    <col min="1" max="1" width="18.88671875" style="2" customWidth="1"/>
    <col min="2" max="7" width="15.6640625" style="2" customWidth="1"/>
    <col min="8" max="16384" width="9.109375" style="2"/>
  </cols>
  <sheetData>
    <row r="1" spans="1:7">
      <c r="A1" s="226" t="s">
        <v>87</v>
      </c>
    </row>
    <row r="2" spans="1:7">
      <c r="A2" s="92" t="s">
        <v>386</v>
      </c>
    </row>
    <row r="3" spans="1:7" ht="43.2">
      <c r="A3" s="71"/>
      <c r="B3" s="25" t="s">
        <v>95</v>
      </c>
      <c r="C3" s="25" t="s">
        <v>96</v>
      </c>
      <c r="D3" s="25" t="s">
        <v>97</v>
      </c>
      <c r="E3" s="247" t="s">
        <v>98</v>
      </c>
      <c r="F3" s="25" t="s">
        <v>99</v>
      </c>
      <c r="G3" s="25" t="s">
        <v>196</v>
      </c>
    </row>
    <row r="4" spans="1:7">
      <c r="A4" s="80" t="s">
        <v>387</v>
      </c>
      <c r="B4" s="23">
        <v>50</v>
      </c>
      <c r="C4" s="23">
        <v>14</v>
      </c>
      <c r="D4" s="178">
        <v>0</v>
      </c>
      <c r="E4" s="248">
        <v>0</v>
      </c>
      <c r="F4" s="215">
        <v>0</v>
      </c>
      <c r="G4" s="103">
        <v>0</v>
      </c>
    </row>
    <row r="5" spans="1:7">
      <c r="A5" s="80" t="s">
        <v>388</v>
      </c>
      <c r="B5" s="23">
        <v>800</v>
      </c>
      <c r="C5" s="23">
        <v>384</v>
      </c>
      <c r="D5" s="178">
        <v>323</v>
      </c>
      <c r="E5" s="248">
        <v>336</v>
      </c>
      <c r="F5" s="215">
        <v>405</v>
      </c>
      <c r="G5" s="103">
        <v>0.2054</v>
      </c>
    </row>
    <row r="6" spans="1:7">
      <c r="A6" s="20" t="s">
        <v>114</v>
      </c>
      <c r="B6" s="25">
        <v>850</v>
      </c>
      <c r="C6" s="25">
        <v>398</v>
      </c>
      <c r="D6" s="179">
        <v>323</v>
      </c>
      <c r="E6" s="267">
        <v>336</v>
      </c>
      <c r="F6" s="216">
        <v>405</v>
      </c>
      <c r="G6" s="103">
        <v>0.2054</v>
      </c>
    </row>
  </sheetData>
  <hyperlinks>
    <hyperlink ref="A1" location="Inhoud!A1" display="Terug naar inhoud" xr:uid="{76A1C3AB-5B3F-4CC1-A4F0-9D157AA28815}"/>
  </hyperlink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2040C-A195-4C23-AD63-785F4CF75176}">
  <dimension ref="A1:G7"/>
  <sheetViews>
    <sheetView workbookViewId="0">
      <selection activeCell="A2" sqref="A2"/>
    </sheetView>
  </sheetViews>
  <sheetFormatPr defaultColWidth="9.109375" defaultRowHeight="14.4"/>
  <cols>
    <col min="1" max="1" width="23" style="2" customWidth="1"/>
    <col min="2" max="6" width="6.88671875" style="2" customWidth="1"/>
    <col min="7" max="7" width="18" style="2" bestFit="1" customWidth="1"/>
    <col min="8" max="16384" width="9.109375" style="2"/>
  </cols>
  <sheetData>
    <row r="1" spans="1:7">
      <c r="A1" s="226" t="s">
        <v>87</v>
      </c>
    </row>
    <row r="2" spans="1:7">
      <c r="A2" s="3" t="s">
        <v>389</v>
      </c>
    </row>
    <row r="3" spans="1:7" ht="40.950000000000003" customHeight="1">
      <c r="A3" s="52" t="s">
        <v>124</v>
      </c>
      <c r="B3" s="25">
        <v>2018</v>
      </c>
      <c r="C3" s="25">
        <v>2019</v>
      </c>
      <c r="D3" s="25">
        <v>2020</v>
      </c>
      <c r="E3" s="25">
        <v>2021</v>
      </c>
      <c r="F3" s="25">
        <v>2022</v>
      </c>
      <c r="G3" s="25" t="s">
        <v>390</v>
      </c>
    </row>
    <row r="4" spans="1:7" ht="15" customHeight="1">
      <c r="A4" s="53" t="s">
        <v>391</v>
      </c>
      <c r="B4" s="290">
        <v>120</v>
      </c>
      <c r="C4" s="290">
        <v>138</v>
      </c>
      <c r="D4" s="290">
        <v>148</v>
      </c>
      <c r="E4" s="290">
        <v>198</v>
      </c>
      <c r="F4" s="290">
        <v>245</v>
      </c>
      <c r="G4" s="292">
        <f>(F4-E4)/E4</f>
        <v>0.23737373737373738</v>
      </c>
    </row>
    <row r="5" spans="1:7" ht="15" customHeight="1">
      <c r="A5" s="53" t="s">
        <v>136</v>
      </c>
      <c r="B5" s="290">
        <v>120</v>
      </c>
      <c r="C5" s="290">
        <v>35</v>
      </c>
      <c r="D5" s="290">
        <v>10</v>
      </c>
      <c r="E5" s="290">
        <v>8</v>
      </c>
      <c r="F5" s="290">
        <v>0</v>
      </c>
      <c r="G5" s="292">
        <f t="shared" ref="G5:G7" si="0">(F5-E5)/E5</f>
        <v>-1</v>
      </c>
    </row>
    <row r="6" spans="1:7" ht="15" customHeight="1">
      <c r="A6" s="53" t="s">
        <v>135</v>
      </c>
      <c r="B6" s="290">
        <v>8</v>
      </c>
      <c r="C6" s="290">
        <v>8</v>
      </c>
      <c r="D6" s="290">
        <v>3</v>
      </c>
      <c r="E6" s="290">
        <v>1</v>
      </c>
      <c r="F6" s="290">
        <v>0</v>
      </c>
      <c r="G6" s="292">
        <f t="shared" si="0"/>
        <v>-1</v>
      </c>
    </row>
    <row r="7" spans="1:7" ht="15" customHeight="1">
      <c r="A7" s="52" t="s">
        <v>114</v>
      </c>
      <c r="B7" s="291">
        <v>248</v>
      </c>
      <c r="C7" s="291">
        <v>181</v>
      </c>
      <c r="D7" s="291">
        <v>161</v>
      </c>
      <c r="E7" s="291">
        <v>207</v>
      </c>
      <c r="F7" s="291">
        <v>245</v>
      </c>
      <c r="G7" s="293">
        <f t="shared" si="0"/>
        <v>0.18357487922705315</v>
      </c>
    </row>
  </sheetData>
  <hyperlinks>
    <hyperlink ref="A1" location="Inhoud!A1" display="Terug naar inhoud" xr:uid="{207FCA35-10E5-4A30-8870-62A6615552A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84639-E6E0-4B95-9C8B-5341FE87E4FC}">
  <dimension ref="A1:G4"/>
  <sheetViews>
    <sheetView workbookViewId="0">
      <selection activeCell="A2" sqref="A2"/>
    </sheetView>
  </sheetViews>
  <sheetFormatPr defaultColWidth="9.109375" defaultRowHeight="14.4"/>
  <cols>
    <col min="1" max="1" width="14.44140625" style="2" customWidth="1"/>
    <col min="2" max="3" width="12.109375" style="2" customWidth="1"/>
    <col min="4" max="6" width="13.6640625" style="2" customWidth="1"/>
    <col min="7" max="7" width="18" style="2" bestFit="1" customWidth="1"/>
    <col min="8" max="16384" width="9.109375" style="2"/>
  </cols>
  <sheetData>
    <row r="1" spans="1:7">
      <c r="A1" s="226" t="s">
        <v>87</v>
      </c>
    </row>
    <row r="2" spans="1:7">
      <c r="A2" s="1" t="s">
        <v>392</v>
      </c>
    </row>
    <row r="3" spans="1:7" ht="43.2">
      <c r="A3" s="54"/>
      <c r="B3" s="18">
        <v>2018</v>
      </c>
      <c r="C3" s="18">
        <v>2019</v>
      </c>
      <c r="D3" s="18">
        <v>2020</v>
      </c>
      <c r="E3" s="18">
        <v>2021</v>
      </c>
      <c r="F3" s="18">
        <v>2022</v>
      </c>
      <c r="G3" s="18" t="s">
        <v>390</v>
      </c>
    </row>
    <row r="4" spans="1:7">
      <c r="A4" s="16" t="s">
        <v>393</v>
      </c>
      <c r="B4" s="17">
        <v>41</v>
      </c>
      <c r="C4" s="17">
        <v>43</v>
      </c>
      <c r="D4" s="17">
        <v>17</v>
      </c>
      <c r="E4" s="17">
        <v>11</v>
      </c>
      <c r="F4" s="17">
        <v>20</v>
      </c>
      <c r="G4" s="9">
        <v>0.81820000000000004</v>
      </c>
    </row>
  </sheetData>
  <hyperlinks>
    <hyperlink ref="A1" location="Inhoud!A1" display="Terug naar inhoud" xr:uid="{799DAC5D-7AE0-4D0C-B7B3-85DA337E07B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9AEF-37B6-444E-8889-456B3CC9F516}">
  <dimension ref="A1:G13"/>
  <sheetViews>
    <sheetView workbookViewId="0">
      <selection activeCell="H6" sqref="H6"/>
    </sheetView>
  </sheetViews>
  <sheetFormatPr defaultColWidth="9.109375" defaultRowHeight="14.4"/>
  <cols>
    <col min="1" max="1" width="30.5546875" style="2" customWidth="1"/>
    <col min="2" max="2" width="14.6640625" style="2" customWidth="1"/>
    <col min="3" max="3" width="15.109375" style="2" customWidth="1"/>
    <col min="4" max="4" width="14.88671875" style="2" customWidth="1"/>
    <col min="5" max="5" width="14.44140625" style="2" customWidth="1"/>
    <col min="6" max="6" width="15.5546875" style="2" customWidth="1"/>
    <col min="7" max="7" width="15.88671875" style="2" customWidth="1"/>
    <col min="8" max="16384" width="9.109375" style="2"/>
  </cols>
  <sheetData>
    <row r="1" spans="1:7">
      <c r="A1" s="226" t="s">
        <v>87</v>
      </c>
    </row>
    <row r="2" spans="1:7">
      <c r="A2" s="92" t="s">
        <v>394</v>
      </c>
    </row>
    <row r="3" spans="1:7">
      <c r="A3" s="20"/>
      <c r="B3" s="71">
        <v>2017</v>
      </c>
      <c r="C3" s="71">
        <v>2018</v>
      </c>
      <c r="D3" s="71">
        <v>2019</v>
      </c>
      <c r="E3" s="125">
        <v>2020</v>
      </c>
      <c r="F3" s="125">
        <v>2021</v>
      </c>
      <c r="G3" s="125">
        <v>2022</v>
      </c>
    </row>
    <row r="4" spans="1:7">
      <c r="A4" s="80" t="s">
        <v>395</v>
      </c>
      <c r="B4" s="126">
        <v>2224272</v>
      </c>
      <c r="C4" s="126">
        <v>7300199.4699999997</v>
      </c>
      <c r="D4" s="126">
        <v>8444995.9499999993</v>
      </c>
      <c r="E4" s="28">
        <v>7354178.2699999996</v>
      </c>
      <c r="F4" s="156">
        <f>SUM(F5:F6)</f>
        <v>7018620.9199999999</v>
      </c>
      <c r="G4" s="156">
        <f>SUM(G5:G6)</f>
        <v>8311889.2999999998</v>
      </c>
    </row>
    <row r="5" spans="1:7" ht="28.8">
      <c r="A5" s="80" t="s">
        <v>396</v>
      </c>
      <c r="B5" s="126">
        <v>832735</v>
      </c>
      <c r="C5" s="126">
        <v>855398.24</v>
      </c>
      <c r="D5" s="126">
        <v>647850.98</v>
      </c>
      <c r="E5" s="155">
        <v>1353797.86</v>
      </c>
      <c r="F5" s="153">
        <v>1100285.93</v>
      </c>
      <c r="G5" s="153">
        <v>1218657.51</v>
      </c>
    </row>
    <row r="6" spans="1:7">
      <c r="A6" s="80" t="s">
        <v>397</v>
      </c>
      <c r="B6" s="126">
        <v>1391537</v>
      </c>
      <c r="C6" s="126">
        <v>6444801.2300000004</v>
      </c>
      <c r="D6" s="126">
        <v>7797145.0700000003</v>
      </c>
      <c r="E6" s="155">
        <v>6000380.4100000001</v>
      </c>
      <c r="F6" s="154">
        <v>5918334.9900000002</v>
      </c>
      <c r="G6" s="274">
        <v>7093231.79</v>
      </c>
    </row>
    <row r="7" spans="1:7">
      <c r="A7" s="80" t="s">
        <v>398</v>
      </c>
      <c r="B7" s="126">
        <v>30040567</v>
      </c>
      <c r="C7" s="126">
        <v>25426771.329999998</v>
      </c>
      <c r="D7" s="126">
        <v>37697010.659999996</v>
      </c>
      <c r="E7" s="28">
        <v>42732586.460000001</v>
      </c>
      <c r="F7" s="157">
        <v>52679092.829999998</v>
      </c>
      <c r="G7" s="157">
        <v>54974783.509999998</v>
      </c>
    </row>
    <row r="8" spans="1:7">
      <c r="A8" s="80" t="s">
        <v>399</v>
      </c>
      <c r="B8" s="126">
        <v>30899630</v>
      </c>
      <c r="C8" s="126">
        <v>31230966.07</v>
      </c>
      <c r="D8" s="126">
        <v>31979333.460000001</v>
      </c>
      <c r="E8" s="28">
        <v>32011477.23</v>
      </c>
      <c r="F8" s="28">
        <v>30964686.75</v>
      </c>
      <c r="G8" s="28">
        <v>37353487.100000001</v>
      </c>
    </row>
    <row r="9" spans="1:7">
      <c r="A9" s="20" t="s">
        <v>114</v>
      </c>
      <c r="B9" s="127">
        <f>B4+B7+B8</f>
        <v>63164469</v>
      </c>
      <c r="C9" s="127">
        <f>C4+C7+C8</f>
        <v>63957936.869999997</v>
      </c>
      <c r="D9" s="127">
        <f>D4+D7+D8</f>
        <v>78121340.069999993</v>
      </c>
      <c r="E9" s="29">
        <v>82098241.959999993</v>
      </c>
      <c r="F9" s="29">
        <f>SUM(F4,F7,F8)</f>
        <v>90662400.5</v>
      </c>
      <c r="G9" s="29">
        <f>SUM(G5:G8)</f>
        <v>100640159.91</v>
      </c>
    </row>
    <row r="10" spans="1:7">
      <c r="A10" s="34"/>
      <c r="B10" s="34"/>
      <c r="C10" s="34"/>
      <c r="D10" s="34"/>
      <c r="E10" s="34"/>
    </row>
    <row r="13" spans="1:7">
      <c r="D13" s="114"/>
    </row>
  </sheetData>
  <hyperlinks>
    <hyperlink ref="A1" location="Inhoud!A1" display="Terug naar inhoud" xr:uid="{1D59D4C5-B95C-4A5C-A3C9-D8458331A142}"/>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326B-3226-408B-B34B-F5B836FF9EC1}">
  <dimension ref="A1:E4"/>
  <sheetViews>
    <sheetView workbookViewId="0">
      <selection activeCell="E4" sqref="E4"/>
    </sheetView>
  </sheetViews>
  <sheetFormatPr defaultColWidth="9.109375" defaultRowHeight="14.4"/>
  <cols>
    <col min="1" max="1" width="10.5546875" style="2" customWidth="1"/>
    <col min="2" max="3" width="9.109375" style="2"/>
    <col min="4" max="4" width="10" style="2" customWidth="1"/>
    <col min="5" max="6" width="9.109375" style="2"/>
    <col min="7" max="7" width="9.109375" style="2" customWidth="1"/>
    <col min="8" max="8" width="9.109375" style="2"/>
    <col min="9" max="9" width="9.109375" style="2" customWidth="1"/>
    <col min="10" max="10" width="9.109375" style="2"/>
    <col min="11" max="11" width="9.109375" style="2" customWidth="1"/>
    <col min="12" max="16384" width="9.109375" style="2"/>
  </cols>
  <sheetData>
    <row r="1" spans="1:5">
      <c r="A1" s="226" t="s">
        <v>87</v>
      </c>
    </row>
    <row r="2" spans="1:5">
      <c r="A2" s="3" t="s">
        <v>400</v>
      </c>
    </row>
    <row r="3" spans="1:5">
      <c r="A3" s="25">
        <v>2018</v>
      </c>
      <c r="B3" s="31">
        <v>2019</v>
      </c>
      <c r="C3" s="25">
        <v>2020</v>
      </c>
      <c r="D3" s="25">
        <v>2021</v>
      </c>
      <c r="E3" s="25">
        <v>2022</v>
      </c>
    </row>
    <row r="4" spans="1:5">
      <c r="A4" s="43">
        <v>2294520</v>
      </c>
      <c r="B4" s="33">
        <v>1668673</v>
      </c>
      <c r="C4" s="43">
        <v>2763896</v>
      </c>
      <c r="D4" s="43">
        <v>2212472.66</v>
      </c>
      <c r="E4" s="43">
        <v>1645917</v>
      </c>
    </row>
  </sheetData>
  <hyperlinks>
    <hyperlink ref="A1" location="Inhoud!A1" display="Terug naar inhoud" xr:uid="{AC980F7D-8413-48DF-BC27-B22FE58A5939}"/>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DF111-092A-42E3-9C10-8555C3982635}">
  <dimension ref="A1:M6"/>
  <sheetViews>
    <sheetView workbookViewId="0">
      <selection activeCell="A2" sqref="A2"/>
    </sheetView>
  </sheetViews>
  <sheetFormatPr defaultColWidth="9.109375" defaultRowHeight="14.4"/>
  <cols>
    <col min="1" max="1" width="15.88671875" style="34" customWidth="1"/>
    <col min="2" max="2" width="6.6640625" style="34" customWidth="1"/>
    <col min="3" max="3" width="12.6640625" style="34" customWidth="1"/>
    <col min="4" max="4" width="6.6640625" style="34" customWidth="1"/>
    <col min="5" max="5" width="12.6640625" style="34" customWidth="1"/>
    <col min="6" max="6" width="6.6640625" style="34" customWidth="1"/>
    <col min="7" max="11" width="12.6640625" style="34" customWidth="1"/>
    <col min="12" max="12" width="9.88671875" style="34" customWidth="1"/>
    <col min="13" max="13" width="8.44140625" style="34" customWidth="1"/>
    <col min="14" max="16384" width="9.109375" style="34"/>
  </cols>
  <sheetData>
    <row r="1" spans="1:13">
      <c r="A1" s="226" t="s">
        <v>87</v>
      </c>
    </row>
    <row r="2" spans="1:13">
      <c r="A2" s="88" t="s">
        <v>401</v>
      </c>
    </row>
    <row r="3" spans="1:13" ht="40.950000000000003" customHeight="1">
      <c r="A3" s="100"/>
      <c r="B3" s="314">
        <v>2018</v>
      </c>
      <c r="C3" s="314"/>
      <c r="D3" s="314">
        <v>2019</v>
      </c>
      <c r="E3" s="314"/>
      <c r="F3" s="314">
        <v>2020</v>
      </c>
      <c r="G3" s="314"/>
      <c r="H3" s="314">
        <v>2021</v>
      </c>
      <c r="I3" s="314"/>
      <c r="J3" s="314">
        <v>2022</v>
      </c>
      <c r="K3" s="314"/>
      <c r="L3" s="302" t="s">
        <v>402</v>
      </c>
      <c r="M3" s="302"/>
    </row>
    <row r="4" spans="1:13" ht="42.6">
      <c r="A4" s="100"/>
      <c r="B4" s="101" t="s">
        <v>403</v>
      </c>
      <c r="C4" s="101" t="s">
        <v>404</v>
      </c>
      <c r="D4" s="101" t="s">
        <v>403</v>
      </c>
      <c r="E4" s="101" t="s">
        <v>404</v>
      </c>
      <c r="F4" s="101" t="s">
        <v>403</v>
      </c>
      <c r="G4" s="101" t="s">
        <v>404</v>
      </c>
      <c r="H4" s="101" t="s">
        <v>403</v>
      </c>
      <c r="I4" s="101" t="s">
        <v>404</v>
      </c>
      <c r="J4" s="101" t="s">
        <v>403</v>
      </c>
      <c r="K4" s="101" t="s">
        <v>404</v>
      </c>
      <c r="L4" s="101" t="s">
        <v>403</v>
      </c>
      <c r="M4" s="101" t="s">
        <v>404</v>
      </c>
    </row>
    <row r="5" spans="1:13">
      <c r="A5" s="32" t="s">
        <v>399</v>
      </c>
      <c r="B5" s="24">
        <v>953</v>
      </c>
      <c r="C5" s="102">
        <v>31687964.739999998</v>
      </c>
      <c r="D5" s="24">
        <v>747</v>
      </c>
      <c r="E5" s="102">
        <v>31979333.460000001</v>
      </c>
      <c r="F5" s="24">
        <v>676</v>
      </c>
      <c r="G5" s="102">
        <v>32011477.23</v>
      </c>
      <c r="H5" s="24">
        <v>635</v>
      </c>
      <c r="I5" s="28">
        <v>30964686.75</v>
      </c>
      <c r="J5" s="28">
        <v>648</v>
      </c>
      <c r="K5" s="28">
        <v>37353487.100000001</v>
      </c>
      <c r="L5" s="103">
        <f>(J5-H5)/H5</f>
        <v>2.0472440944881889E-2</v>
      </c>
      <c r="M5" s="103">
        <f>(K5-I5)/I5</f>
        <v>0.20632536675023852</v>
      </c>
    </row>
    <row r="6" spans="1:13" ht="52.5" customHeight="1">
      <c r="A6" s="80" t="s">
        <v>405</v>
      </c>
      <c r="B6" s="24">
        <v>1213</v>
      </c>
      <c r="C6" s="102">
        <v>32129774.32</v>
      </c>
      <c r="D6" s="33">
        <v>1555</v>
      </c>
      <c r="E6" s="102">
        <v>37484133.299999997</v>
      </c>
      <c r="F6" s="24">
        <v>1692</v>
      </c>
      <c r="G6" s="102">
        <v>42732586.460000001</v>
      </c>
      <c r="H6" s="158">
        <v>1633</v>
      </c>
      <c r="I6" s="157">
        <v>52679092.829999998</v>
      </c>
      <c r="J6" s="157">
        <v>1472</v>
      </c>
      <c r="K6" s="157">
        <v>54974783.509999998</v>
      </c>
      <c r="L6" s="103">
        <f>(J6-H6)/H6</f>
        <v>-9.8591549295774641E-2</v>
      </c>
      <c r="M6" s="275">
        <f>(K6-I6)/I6</f>
        <v>4.3578781574853474E-2</v>
      </c>
    </row>
  </sheetData>
  <mergeCells count="6">
    <mergeCell ref="J3:K3"/>
    <mergeCell ref="B3:C3"/>
    <mergeCell ref="D3:E3"/>
    <mergeCell ref="F3:G3"/>
    <mergeCell ref="L3:M3"/>
    <mergeCell ref="H3:I3"/>
  </mergeCells>
  <hyperlinks>
    <hyperlink ref="A1" location="Inhoud!A1" display="Terug naar inhoud" xr:uid="{437757FA-2539-49F8-97FA-AC5398F6FEBA}"/>
  </hyperlinks>
  <pageMargins left="0.7" right="0.7" top="0.75" bottom="0.75" header="0.3" footer="0.3"/>
  <pageSetup paperSize="9" fitToWidth="0"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9439-A976-45DD-829C-1D047AF500D2}">
  <dimension ref="A1:H11"/>
  <sheetViews>
    <sheetView workbookViewId="0"/>
  </sheetViews>
  <sheetFormatPr defaultColWidth="9.109375" defaultRowHeight="14.4"/>
  <cols>
    <col min="1" max="1" width="19.44140625" style="2" customWidth="1"/>
    <col min="2" max="7" width="15.6640625" style="2" customWidth="1"/>
    <col min="8" max="8" width="13" style="2" customWidth="1"/>
    <col min="9" max="16384" width="9.109375" style="2"/>
  </cols>
  <sheetData>
    <row r="1" spans="1:8">
      <c r="A1" s="226" t="s">
        <v>87</v>
      </c>
    </row>
    <row r="2" spans="1:8">
      <c r="A2" s="92" t="s">
        <v>406</v>
      </c>
    </row>
    <row r="3" spans="1:8" ht="54.6" customHeight="1">
      <c r="A3" s="146" t="s">
        <v>124</v>
      </c>
      <c r="B3" s="85" t="s">
        <v>407</v>
      </c>
      <c r="C3" s="85" t="s">
        <v>191</v>
      </c>
      <c r="D3" s="85" t="s">
        <v>192</v>
      </c>
      <c r="E3" s="70" t="s">
        <v>193</v>
      </c>
      <c r="F3" s="70" t="s">
        <v>194</v>
      </c>
      <c r="G3" s="281" t="s">
        <v>195</v>
      </c>
      <c r="H3" s="249" t="s">
        <v>196</v>
      </c>
    </row>
    <row r="4" spans="1:8">
      <c r="A4" s="147" t="s">
        <v>131</v>
      </c>
      <c r="B4" s="128">
        <v>1353</v>
      </c>
      <c r="C4" s="128">
        <v>1508</v>
      </c>
      <c r="D4" s="128">
        <v>1628</v>
      </c>
      <c r="E4" s="43">
        <v>1255</v>
      </c>
      <c r="F4" s="233">
        <v>1390</v>
      </c>
      <c r="G4" s="161">
        <v>1453</v>
      </c>
      <c r="H4" s="217">
        <f>(G4-F4)/F4</f>
        <v>4.5323741007194246E-2</v>
      </c>
    </row>
    <row r="5" spans="1:8">
      <c r="A5" s="147" t="s">
        <v>136</v>
      </c>
      <c r="B5" s="128">
        <v>1696</v>
      </c>
      <c r="C5" s="128">
        <v>1768</v>
      </c>
      <c r="D5" s="128">
        <v>1892</v>
      </c>
      <c r="E5" s="43">
        <v>1432</v>
      </c>
      <c r="F5" s="233">
        <v>1174</v>
      </c>
      <c r="G5" s="161">
        <v>1683</v>
      </c>
      <c r="H5" s="217">
        <f t="shared" ref="H5:H8" si="0">(G5-F5)/F5</f>
        <v>0.43356047700170358</v>
      </c>
    </row>
    <row r="6" spans="1:8">
      <c r="A6" s="147" t="s">
        <v>135</v>
      </c>
      <c r="B6" s="129">
        <v>51</v>
      </c>
      <c r="C6" s="129">
        <v>62</v>
      </c>
      <c r="D6" s="129">
        <v>54</v>
      </c>
      <c r="E6" s="23">
        <v>46</v>
      </c>
      <c r="F6" s="240">
        <v>53</v>
      </c>
      <c r="G6" s="215">
        <v>76</v>
      </c>
      <c r="H6" s="217">
        <f t="shared" si="0"/>
        <v>0.43396226415094341</v>
      </c>
    </row>
    <row r="7" spans="1:8">
      <c r="A7" s="147" t="s">
        <v>178</v>
      </c>
      <c r="B7" s="129">
        <v>33</v>
      </c>
      <c r="C7" s="129">
        <v>40</v>
      </c>
      <c r="D7" s="129">
        <v>41</v>
      </c>
      <c r="E7" s="23">
        <v>44</v>
      </c>
      <c r="F7" s="240">
        <v>25</v>
      </c>
      <c r="G7" s="215">
        <v>36</v>
      </c>
      <c r="H7" s="217">
        <f t="shared" si="0"/>
        <v>0.44</v>
      </c>
    </row>
    <row r="8" spans="1:8">
      <c r="A8" s="148" t="s">
        <v>197</v>
      </c>
      <c r="B8" s="130">
        <v>3093</v>
      </c>
      <c r="C8" s="130">
        <v>3378</v>
      </c>
      <c r="D8" s="130">
        <v>3560</v>
      </c>
      <c r="E8" s="44">
        <v>2737</v>
      </c>
      <c r="F8" s="235">
        <v>2601</v>
      </c>
      <c r="G8" s="270">
        <v>3194</v>
      </c>
      <c r="H8" s="218">
        <f t="shared" si="0"/>
        <v>0.22798923490965015</v>
      </c>
    </row>
    <row r="9" spans="1:8">
      <c r="A9" s="149" t="s">
        <v>408</v>
      </c>
    </row>
    <row r="11" spans="1:8">
      <c r="B11" s="4"/>
      <c r="C11" s="4"/>
      <c r="D11" s="4"/>
      <c r="E11" s="4"/>
      <c r="F11" s="4"/>
      <c r="G11" s="4"/>
    </row>
  </sheetData>
  <hyperlinks>
    <hyperlink ref="A1" location="Inhoud!A1" display="Terug naar inhoud" xr:uid="{AE819477-D17D-4740-B5E0-1BC6B6557E3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0ED4-E8C3-4F34-A470-353576A788EA}">
  <dimension ref="A1:F12"/>
  <sheetViews>
    <sheetView workbookViewId="0">
      <selection activeCell="A2" sqref="A2"/>
    </sheetView>
  </sheetViews>
  <sheetFormatPr defaultColWidth="9.109375" defaultRowHeight="14.4"/>
  <cols>
    <col min="1" max="1" width="33" style="2" customWidth="1"/>
    <col min="2" max="2" width="11.44140625" style="2" bestFit="1" customWidth="1"/>
    <col min="3" max="3" width="11.44140625" style="2" customWidth="1"/>
    <col min="4" max="4" width="11.44140625" style="2" bestFit="1" customWidth="1"/>
    <col min="5" max="6" width="11.44140625" style="2" customWidth="1"/>
    <col min="7" max="7" width="19.33203125" style="2" customWidth="1"/>
    <col min="8" max="16384" width="9.109375" style="2"/>
  </cols>
  <sheetData>
    <row r="1" spans="1:6">
      <c r="A1" s="226" t="s">
        <v>87</v>
      </c>
    </row>
    <row r="2" spans="1:6">
      <c r="A2" s="3" t="s">
        <v>117</v>
      </c>
    </row>
    <row r="3" spans="1:6" ht="57.6">
      <c r="A3" s="131"/>
      <c r="B3" s="133" t="s">
        <v>102</v>
      </c>
      <c r="C3" s="133" t="s">
        <v>103</v>
      </c>
      <c r="D3" s="133" t="s">
        <v>104</v>
      </c>
      <c r="E3" s="133" t="s">
        <v>105</v>
      </c>
      <c r="F3" s="134" t="s">
        <v>106</v>
      </c>
    </row>
    <row r="4" spans="1:6">
      <c r="A4" s="131" t="s">
        <v>107</v>
      </c>
      <c r="B4" s="205" t="s">
        <v>118</v>
      </c>
      <c r="C4" s="205" t="s">
        <v>119</v>
      </c>
      <c r="D4" s="203">
        <v>60348</v>
      </c>
      <c r="E4" s="203">
        <v>61951</v>
      </c>
      <c r="F4" s="201">
        <f>(E4-D4)/D4</f>
        <v>2.6562603565983958E-2</v>
      </c>
    </row>
    <row r="5" spans="1:6">
      <c r="A5" s="6" t="s">
        <v>108</v>
      </c>
      <c r="B5" s="7">
        <v>8875</v>
      </c>
      <c r="C5" s="8">
        <v>9052</v>
      </c>
      <c r="D5" s="203">
        <v>9739</v>
      </c>
      <c r="E5" s="203">
        <v>9897</v>
      </c>
      <c r="F5" s="201">
        <f t="shared" ref="F5:F11" si="0">(E5-D5)/D5</f>
        <v>1.6223431563815588E-2</v>
      </c>
    </row>
    <row r="6" spans="1:6">
      <c r="A6" s="6" t="s">
        <v>109</v>
      </c>
      <c r="B6" s="7">
        <v>59742</v>
      </c>
      <c r="C6" s="8">
        <v>60575</v>
      </c>
      <c r="D6" s="203">
        <v>61560</v>
      </c>
      <c r="E6" s="203">
        <v>63319</v>
      </c>
      <c r="F6" s="201">
        <f t="shared" si="0"/>
        <v>2.8573749187784277E-2</v>
      </c>
    </row>
    <row r="7" spans="1:6">
      <c r="A7" s="6" t="s">
        <v>110</v>
      </c>
      <c r="B7" s="7">
        <v>8662</v>
      </c>
      <c r="C7" s="8">
        <v>8939</v>
      </c>
      <c r="D7" s="203">
        <v>9437</v>
      </c>
      <c r="E7" s="203">
        <v>9820</v>
      </c>
      <c r="F7" s="201">
        <f t="shared" si="0"/>
        <v>4.0584931652008056E-2</v>
      </c>
    </row>
    <row r="8" spans="1:6">
      <c r="A8" s="6" t="s">
        <v>111</v>
      </c>
      <c r="B8" s="7">
        <v>1368</v>
      </c>
      <c r="C8" s="8">
        <v>1309</v>
      </c>
      <c r="D8" s="203">
        <v>1334</v>
      </c>
      <c r="E8" s="203">
        <v>1382</v>
      </c>
      <c r="F8" s="201">
        <f t="shared" si="0"/>
        <v>3.5982008995502246E-2</v>
      </c>
    </row>
    <row r="9" spans="1:6">
      <c r="A9" s="6" t="s">
        <v>112</v>
      </c>
      <c r="B9" s="7">
        <v>4341</v>
      </c>
      <c r="C9" s="8">
        <v>4475</v>
      </c>
      <c r="D9" s="203">
        <v>4622</v>
      </c>
      <c r="E9" s="203">
        <v>4684</v>
      </c>
      <c r="F9" s="201">
        <f t="shared" si="0"/>
        <v>1.3414106447425357E-2</v>
      </c>
    </row>
    <row r="10" spans="1:6">
      <c r="A10" s="6" t="s">
        <v>113</v>
      </c>
      <c r="B10" s="7">
        <v>5002</v>
      </c>
      <c r="C10" s="8">
        <v>5018</v>
      </c>
      <c r="D10" s="203">
        <v>5114</v>
      </c>
      <c r="E10" s="203">
        <v>5105</v>
      </c>
      <c r="F10" s="201">
        <f t="shared" si="0"/>
        <v>-1.7598748533437622E-3</v>
      </c>
    </row>
    <row r="11" spans="1:6" s="92" customFormat="1">
      <c r="A11" s="10" t="s">
        <v>114</v>
      </c>
      <c r="B11" s="12">
        <v>146692</v>
      </c>
      <c r="C11" s="12">
        <v>148610</v>
      </c>
      <c r="D11" s="204">
        <f>SUM(D4:D10)</f>
        <v>152154</v>
      </c>
      <c r="E11" s="204">
        <f>SUM(E4:E10)</f>
        <v>156158</v>
      </c>
      <c r="F11" s="202">
        <f t="shared" si="0"/>
        <v>2.631544356375777E-2</v>
      </c>
    </row>
    <row r="12" spans="1:6" s="14" customFormat="1" ht="13.8">
      <c r="A12" s="13" t="s">
        <v>120</v>
      </c>
      <c r="D12" s="204"/>
      <c r="E12" s="228"/>
    </row>
  </sheetData>
  <hyperlinks>
    <hyperlink ref="A1" location="Inhoud!A1" display="Terug naar inhoud" xr:uid="{8ED24D94-6DFC-4B46-84AC-92C93F9430E5}"/>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D86A-62CE-49BB-813E-1CF14F0382FE}">
  <dimension ref="A1:G13"/>
  <sheetViews>
    <sheetView workbookViewId="0"/>
  </sheetViews>
  <sheetFormatPr defaultColWidth="9.109375" defaultRowHeight="14.4"/>
  <cols>
    <col min="1" max="1" width="33.6640625" style="2" customWidth="1"/>
    <col min="2" max="6" width="9.109375" style="2"/>
    <col min="7" max="7" width="14.33203125" style="2" bestFit="1" customWidth="1"/>
    <col min="8" max="16384" width="9.109375" style="2"/>
  </cols>
  <sheetData>
    <row r="1" spans="1:7">
      <c r="A1" s="226" t="s">
        <v>87</v>
      </c>
    </row>
    <row r="2" spans="1:7" s="34" customFormat="1">
      <c r="A2" s="3" t="s">
        <v>409</v>
      </c>
    </row>
    <row r="3" spans="1:7" ht="57.6">
      <c r="A3" s="150" t="s">
        <v>410</v>
      </c>
      <c r="B3" s="151">
        <v>2018</v>
      </c>
      <c r="C3" s="151">
        <v>2019</v>
      </c>
      <c r="D3" s="151">
        <v>2020</v>
      </c>
      <c r="E3" s="152">
        <v>2021</v>
      </c>
      <c r="F3" s="152">
        <v>2022</v>
      </c>
      <c r="G3" s="152" t="s">
        <v>390</v>
      </c>
    </row>
    <row r="4" spans="1:7">
      <c r="A4" s="6" t="s">
        <v>411</v>
      </c>
      <c r="B4" s="8">
        <v>8278</v>
      </c>
      <c r="C4" s="8">
        <v>7812</v>
      </c>
      <c r="D4" s="8">
        <v>4990</v>
      </c>
      <c r="E4" s="8">
        <v>6635</v>
      </c>
      <c r="F4" s="8">
        <v>7406</v>
      </c>
      <c r="G4" s="9">
        <v>0.1162</v>
      </c>
    </row>
    <row r="5" spans="1:7">
      <c r="A5" s="55" t="s">
        <v>412</v>
      </c>
      <c r="B5" s="17">
        <v>942</v>
      </c>
      <c r="C5" s="17">
        <v>976</v>
      </c>
      <c r="D5" s="17">
        <v>634</v>
      </c>
      <c r="E5" s="17">
        <v>648</v>
      </c>
      <c r="F5" s="17">
        <v>823</v>
      </c>
      <c r="G5" s="9">
        <v>0.27010000000000001</v>
      </c>
    </row>
    <row r="6" spans="1:7">
      <c r="A6" s="55" t="s">
        <v>413</v>
      </c>
      <c r="B6" s="8">
        <v>7336</v>
      </c>
      <c r="C6" s="8">
        <v>6836</v>
      </c>
      <c r="D6" s="8">
        <v>4356</v>
      </c>
      <c r="E6" s="8">
        <v>5309</v>
      </c>
      <c r="F6" s="8">
        <v>6583</v>
      </c>
      <c r="G6" s="9">
        <v>0.24</v>
      </c>
    </row>
    <row r="7" spans="1:7">
      <c r="A7" s="6" t="s">
        <v>414</v>
      </c>
      <c r="B7" s="17">
        <v>86</v>
      </c>
      <c r="C7" s="17">
        <v>95</v>
      </c>
      <c r="D7" s="17">
        <v>60</v>
      </c>
      <c r="E7" s="17">
        <v>54</v>
      </c>
      <c r="F7" s="17">
        <v>52</v>
      </c>
      <c r="G7" s="9">
        <v>-3.6999999999999998E-2</v>
      </c>
    </row>
    <row r="8" spans="1:7">
      <c r="A8" s="55" t="s">
        <v>415</v>
      </c>
      <c r="B8" s="17">
        <v>64</v>
      </c>
      <c r="C8" s="17">
        <v>75</v>
      </c>
      <c r="D8" s="17">
        <v>49</v>
      </c>
      <c r="E8" s="17">
        <v>49</v>
      </c>
      <c r="F8" s="17">
        <v>41</v>
      </c>
      <c r="G8" s="9">
        <v>-0.1633</v>
      </c>
    </row>
    <row r="9" spans="1:7">
      <c r="A9" s="55" t="s">
        <v>416</v>
      </c>
      <c r="B9" s="17">
        <v>18</v>
      </c>
      <c r="C9" s="17">
        <v>12</v>
      </c>
      <c r="D9" s="17">
        <v>7</v>
      </c>
      <c r="E9" s="17">
        <v>1</v>
      </c>
      <c r="F9" s="17">
        <v>5</v>
      </c>
      <c r="G9" s="9">
        <v>4</v>
      </c>
    </row>
    <row r="10" spans="1:7">
      <c r="A10" s="55" t="s">
        <v>417</v>
      </c>
      <c r="B10" s="17">
        <v>4</v>
      </c>
      <c r="C10" s="17">
        <v>8</v>
      </c>
      <c r="D10" s="17">
        <v>4</v>
      </c>
      <c r="E10" s="17">
        <v>4</v>
      </c>
      <c r="F10" s="17">
        <v>6</v>
      </c>
      <c r="G10" s="276">
        <v>-0.5</v>
      </c>
    </row>
    <row r="11" spans="1:7">
      <c r="A11" s="6" t="s">
        <v>418</v>
      </c>
      <c r="B11" s="17">
        <v>574</v>
      </c>
      <c r="C11" s="17">
        <v>544</v>
      </c>
      <c r="D11" s="17">
        <v>374</v>
      </c>
      <c r="E11" s="17">
        <v>338</v>
      </c>
      <c r="F11" s="17">
        <v>388</v>
      </c>
      <c r="G11" s="9">
        <v>0.14199999999999999</v>
      </c>
    </row>
    <row r="12" spans="1:7">
      <c r="A12" s="6" t="s">
        <v>419</v>
      </c>
      <c r="B12" s="17">
        <v>31</v>
      </c>
      <c r="C12" s="17">
        <v>38</v>
      </c>
      <c r="D12" s="17">
        <v>23</v>
      </c>
      <c r="E12" s="17">
        <v>31</v>
      </c>
      <c r="F12" s="17">
        <v>115</v>
      </c>
      <c r="G12" s="9">
        <v>2.7097000000000002</v>
      </c>
    </row>
    <row r="13" spans="1:7">
      <c r="A13" s="6" t="s">
        <v>420</v>
      </c>
      <c r="B13" s="17">
        <v>63</v>
      </c>
      <c r="C13" s="17">
        <v>47</v>
      </c>
      <c r="D13" s="17">
        <v>38</v>
      </c>
      <c r="E13" s="17">
        <v>40</v>
      </c>
      <c r="F13" s="17">
        <v>38</v>
      </c>
      <c r="G13" s="9">
        <v>-0.05</v>
      </c>
    </row>
  </sheetData>
  <hyperlinks>
    <hyperlink ref="A1" location="Inhoud!A1" display="Terug naar inhoud" xr:uid="{CA3F7FE8-57AE-4E47-933D-0D1A1CFC1F35}"/>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DC886-64B7-4E0B-AA7A-5E6F06267249}">
  <dimension ref="A1:F8"/>
  <sheetViews>
    <sheetView workbookViewId="0">
      <selection activeCell="A3" sqref="A3"/>
    </sheetView>
  </sheetViews>
  <sheetFormatPr defaultColWidth="9.109375" defaultRowHeight="14.4"/>
  <cols>
    <col min="1" max="1" width="23.44140625" style="2" customWidth="1"/>
    <col min="2" max="3" width="19.33203125" style="2" bestFit="1" customWidth="1"/>
    <col min="4" max="4" width="19.33203125" style="2" customWidth="1"/>
    <col min="5" max="5" width="19.33203125" style="2" bestFit="1" customWidth="1"/>
    <col min="6" max="16384" width="9.109375" style="2"/>
  </cols>
  <sheetData>
    <row r="1" spans="1:6">
      <c r="A1" s="226" t="s">
        <v>87</v>
      </c>
    </row>
    <row r="2" spans="1:6">
      <c r="A2" s="3" t="s">
        <v>421</v>
      </c>
      <c r="B2" s="3"/>
      <c r="C2" s="34"/>
    </row>
    <row r="3" spans="1:6">
      <c r="A3" s="58" t="s">
        <v>321</v>
      </c>
      <c r="B3" s="58" t="s">
        <v>231</v>
      </c>
      <c r="C3" s="66" t="s">
        <v>232</v>
      </c>
      <c r="D3" s="66" t="s">
        <v>233</v>
      </c>
      <c r="E3" s="66" t="s">
        <v>234</v>
      </c>
    </row>
    <row r="4" spans="1:6">
      <c r="A4" s="56" t="s">
        <v>422</v>
      </c>
      <c r="B4" s="65">
        <v>3856</v>
      </c>
      <c r="C4" s="65">
        <v>3563</v>
      </c>
      <c r="D4" s="65">
        <v>3729</v>
      </c>
      <c r="E4" s="65">
        <v>3217</v>
      </c>
      <c r="F4" s="164"/>
    </row>
    <row r="5" spans="1:6">
      <c r="A5" s="56" t="s">
        <v>423</v>
      </c>
      <c r="B5" s="57">
        <v>574</v>
      </c>
      <c r="C5" s="57">
        <v>566</v>
      </c>
      <c r="D5" s="57" t="s">
        <v>424</v>
      </c>
      <c r="E5" s="57" t="s">
        <v>424</v>
      </c>
    </row>
    <row r="6" spans="1:6">
      <c r="A6" s="58" t="s">
        <v>114</v>
      </c>
      <c r="B6" s="67">
        <f>SUM(B4:B5)</f>
        <v>4430</v>
      </c>
      <c r="C6" s="67">
        <v>4129</v>
      </c>
      <c r="D6" s="67">
        <v>3729</v>
      </c>
      <c r="E6" s="67">
        <v>3217</v>
      </c>
    </row>
    <row r="8" spans="1:6">
      <c r="A8" s="92" t="s">
        <v>425</v>
      </c>
      <c r="B8" s="92"/>
    </row>
  </sheetData>
  <hyperlinks>
    <hyperlink ref="A1" location="Inhoud!A1" display="Terug naar inhoud" xr:uid="{B1CC856B-766D-4666-816C-3FFE5066150C}"/>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FC08-6CA9-48A8-9CC3-FC89101C5894}">
  <dimension ref="A1:F8"/>
  <sheetViews>
    <sheetView workbookViewId="0">
      <selection activeCell="A2" sqref="A2"/>
    </sheetView>
  </sheetViews>
  <sheetFormatPr defaultColWidth="9.109375" defaultRowHeight="14.4"/>
  <cols>
    <col min="1" max="1" width="26.44140625" style="2" customWidth="1"/>
    <col min="2" max="2" width="20.33203125" style="2" bestFit="1" customWidth="1"/>
    <col min="3" max="4" width="19.33203125" style="2" bestFit="1" customWidth="1"/>
    <col min="5" max="5" width="24.33203125" style="2" customWidth="1"/>
    <col min="6" max="16384" width="9.109375" style="2"/>
  </cols>
  <sheetData>
    <row r="1" spans="1:6">
      <c r="A1" s="226" t="s">
        <v>87</v>
      </c>
    </row>
    <row r="2" spans="1:6" s="34" customFormat="1">
      <c r="A2" s="3" t="s">
        <v>426</v>
      </c>
      <c r="B2" s="3"/>
    </row>
    <row r="3" spans="1:6">
      <c r="A3" s="59" t="s">
        <v>427</v>
      </c>
      <c r="B3" s="59" t="s">
        <v>428</v>
      </c>
      <c r="C3" s="63" t="s">
        <v>232</v>
      </c>
      <c r="D3" s="63" t="s">
        <v>233</v>
      </c>
      <c r="E3" s="63" t="s">
        <v>234</v>
      </c>
    </row>
    <row r="4" spans="1:6">
      <c r="A4" s="60" t="s">
        <v>131</v>
      </c>
      <c r="B4" s="61">
        <v>331</v>
      </c>
      <c r="C4" s="61">
        <v>336</v>
      </c>
      <c r="D4" s="61">
        <v>312</v>
      </c>
      <c r="E4" s="61">
        <v>311</v>
      </c>
    </row>
    <row r="5" spans="1:6">
      <c r="A5" s="60" t="s">
        <v>136</v>
      </c>
      <c r="B5" s="61">
        <v>16</v>
      </c>
      <c r="C5" s="61">
        <v>12</v>
      </c>
      <c r="D5" s="61" t="s">
        <v>424</v>
      </c>
      <c r="E5" s="61" t="s">
        <v>424</v>
      </c>
      <c r="F5" s="164"/>
    </row>
    <row r="6" spans="1:6">
      <c r="A6" s="62" t="s">
        <v>114</v>
      </c>
      <c r="B6" s="64">
        <f>SUM(B4:B5)</f>
        <v>347</v>
      </c>
      <c r="C6" s="64">
        <v>348</v>
      </c>
      <c r="D6" s="64">
        <f>SUM(D4:D5)</f>
        <v>312</v>
      </c>
      <c r="E6" s="64">
        <v>311</v>
      </c>
    </row>
    <row r="8" spans="1:6">
      <c r="A8" s="2" t="s">
        <v>429</v>
      </c>
      <c r="B8" s="92"/>
    </row>
  </sheetData>
  <hyperlinks>
    <hyperlink ref="A1" location="Inhoud!A1" display="Terug naar inhoud" xr:uid="{ADD880E5-D521-4079-AE44-7C79E31B0BE2}"/>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6FD8C-B884-4579-980D-043E150ED18F}">
  <dimension ref="A1:E25"/>
  <sheetViews>
    <sheetView workbookViewId="0">
      <selection activeCell="A3" sqref="A3"/>
    </sheetView>
  </sheetViews>
  <sheetFormatPr defaultColWidth="9.109375" defaultRowHeight="14.4"/>
  <cols>
    <col min="1" max="1" width="20.5546875" style="2" customWidth="1"/>
    <col min="2" max="16384" width="9.109375" style="2"/>
  </cols>
  <sheetData>
    <row r="1" spans="1:5">
      <c r="A1" s="226" t="s">
        <v>87</v>
      </c>
    </row>
    <row r="2" spans="1:5" s="34" customFormat="1">
      <c r="A2" s="3" t="s">
        <v>430</v>
      </c>
    </row>
    <row r="3" spans="1:5" s="34" customFormat="1">
      <c r="A3" s="58" t="s">
        <v>431</v>
      </c>
      <c r="B3" s="66" t="s">
        <v>432</v>
      </c>
      <c r="C3" s="66" t="s">
        <v>433</v>
      </c>
    </row>
    <row r="4" spans="1:5" s="34" customFormat="1">
      <c r="A4" s="56" t="s">
        <v>434</v>
      </c>
      <c r="B4" s="57">
        <v>360</v>
      </c>
      <c r="C4" s="65">
        <v>2857</v>
      </c>
    </row>
    <row r="5" spans="1:5" s="34" customFormat="1">
      <c r="A5" s="56" t="s">
        <v>435</v>
      </c>
      <c r="B5" s="57" t="s">
        <v>424</v>
      </c>
      <c r="C5" s="57" t="s">
        <v>424</v>
      </c>
    </row>
    <row r="6" spans="1:5" s="34" customFormat="1">
      <c r="A6" s="58" t="s">
        <v>436</v>
      </c>
      <c r="B6" s="66">
        <v>360</v>
      </c>
      <c r="C6" s="67">
        <v>2857</v>
      </c>
      <c r="E6" s="164"/>
    </row>
    <row r="7" spans="1:5" s="34" customFormat="1">
      <c r="A7" s="222" t="s">
        <v>437</v>
      </c>
      <c r="B7" s="220"/>
      <c r="C7" s="221"/>
    </row>
    <row r="8" spans="1:5" s="34" customFormat="1">
      <c r="A8" s="3"/>
    </row>
    <row r="9" spans="1:5" s="34" customFormat="1">
      <c r="A9" s="58" t="s">
        <v>438</v>
      </c>
      <c r="B9" s="66" t="s">
        <v>432</v>
      </c>
      <c r="C9" s="66" t="s">
        <v>433</v>
      </c>
    </row>
    <row r="10" spans="1:5">
      <c r="A10" s="56" t="s">
        <v>434</v>
      </c>
      <c r="B10" s="57">
        <v>343</v>
      </c>
      <c r="C10" s="65">
        <v>3220</v>
      </c>
    </row>
    <row r="11" spans="1:5">
      <c r="A11" s="56" t="s">
        <v>435</v>
      </c>
      <c r="B11" s="57" t="s">
        <v>424</v>
      </c>
      <c r="C11" s="57" t="s">
        <v>424</v>
      </c>
    </row>
    <row r="12" spans="1:5">
      <c r="A12" s="58" t="s">
        <v>436</v>
      </c>
      <c r="B12" s="66">
        <v>343</v>
      </c>
      <c r="C12" s="67">
        <v>3220</v>
      </c>
    </row>
    <row r="13" spans="1:5">
      <c r="A13" s="222" t="s">
        <v>437</v>
      </c>
      <c r="B13" s="220"/>
      <c r="C13" s="221"/>
    </row>
    <row r="14" spans="1:5">
      <c r="A14" s="3"/>
      <c r="B14" s="34"/>
      <c r="C14" s="183"/>
    </row>
    <row r="15" spans="1:5">
      <c r="A15" s="58" t="s">
        <v>439</v>
      </c>
      <c r="B15" s="66" t="s">
        <v>432</v>
      </c>
      <c r="C15" s="66" t="s">
        <v>433</v>
      </c>
    </row>
    <row r="16" spans="1:5">
      <c r="A16" s="56" t="s">
        <v>434</v>
      </c>
      <c r="B16" s="57">
        <v>343</v>
      </c>
      <c r="C16" s="65">
        <v>3220</v>
      </c>
    </row>
    <row r="17" spans="1:3">
      <c r="A17" s="56" t="s">
        <v>423</v>
      </c>
      <c r="B17" s="57">
        <v>234</v>
      </c>
      <c r="C17" s="57">
        <v>332</v>
      </c>
    </row>
    <row r="18" spans="1:3">
      <c r="A18" s="58" t="s">
        <v>436</v>
      </c>
      <c r="B18" s="66">
        <v>577</v>
      </c>
      <c r="C18" s="67">
        <v>3552</v>
      </c>
    </row>
    <row r="20" spans="1:3">
      <c r="A20" s="58" t="s">
        <v>231</v>
      </c>
      <c r="B20" s="66" t="s">
        <v>432</v>
      </c>
      <c r="C20" s="66" t="s">
        <v>433</v>
      </c>
    </row>
    <row r="21" spans="1:3">
      <c r="A21" s="56" t="s">
        <v>440</v>
      </c>
      <c r="B21" s="57">
        <v>331</v>
      </c>
      <c r="C21" s="57">
        <v>3454</v>
      </c>
    </row>
    <row r="22" spans="1:3">
      <c r="A22" s="58" t="s">
        <v>136</v>
      </c>
      <c r="B22" s="66">
        <v>363</v>
      </c>
      <c r="C22" s="67">
        <v>211</v>
      </c>
    </row>
    <row r="23" spans="1:3">
      <c r="A23" s="58" t="s">
        <v>114</v>
      </c>
      <c r="B23" s="66">
        <f>SUM(B21:B22)</f>
        <v>694</v>
      </c>
      <c r="C23" s="66">
        <f>SUM(C21:C22)</f>
        <v>3665</v>
      </c>
    </row>
    <row r="25" spans="1:3">
      <c r="A25" s="92"/>
    </row>
  </sheetData>
  <hyperlinks>
    <hyperlink ref="A1" location="Inhoud!A1" display="Terug naar inhoud" xr:uid="{4ECCCBDE-B8DE-4960-99B0-4504EED36325}"/>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6A3D-0286-4952-BDF1-AE9EE69B81DD}">
  <dimension ref="A1:E31"/>
  <sheetViews>
    <sheetView workbookViewId="0"/>
  </sheetViews>
  <sheetFormatPr defaultColWidth="9.109375" defaultRowHeight="14.4"/>
  <cols>
    <col min="1" max="1" width="19" style="2" customWidth="1"/>
    <col min="2" max="3" width="20.109375" style="2" customWidth="1"/>
    <col min="4" max="16384" width="9.109375" style="2"/>
  </cols>
  <sheetData>
    <row r="1" spans="1:5">
      <c r="A1" s="226" t="s">
        <v>87</v>
      </c>
    </row>
    <row r="2" spans="1:5" s="34" customFormat="1">
      <c r="A2" s="3" t="s">
        <v>441</v>
      </c>
    </row>
    <row r="3" spans="1:5" s="34" customFormat="1" ht="28.8">
      <c r="A3" s="62" t="s">
        <v>234</v>
      </c>
      <c r="B3" s="64" t="s">
        <v>131</v>
      </c>
      <c r="C3" s="64" t="s">
        <v>136</v>
      </c>
    </row>
    <row r="4" spans="1:5" s="34" customFormat="1">
      <c r="A4" s="165" t="s">
        <v>442</v>
      </c>
      <c r="B4" s="61">
        <v>689</v>
      </c>
      <c r="C4" s="61" t="s">
        <v>424</v>
      </c>
    </row>
    <row r="5" spans="1:5" s="34" customFormat="1">
      <c r="A5" s="62" t="s">
        <v>443</v>
      </c>
      <c r="B5" s="68">
        <v>1063</v>
      </c>
      <c r="C5" s="61" t="s">
        <v>424</v>
      </c>
      <c r="E5" s="164"/>
    </row>
    <row r="6" spans="1:5" s="34" customFormat="1">
      <c r="A6" s="62" t="s">
        <v>444</v>
      </c>
      <c r="B6" s="61">
        <v>336</v>
      </c>
      <c r="C6" s="61" t="s">
        <v>424</v>
      </c>
    </row>
    <row r="7" spans="1:5" s="34" customFormat="1">
      <c r="A7" s="62" t="s">
        <v>445</v>
      </c>
      <c r="B7" s="68">
        <v>1129</v>
      </c>
      <c r="C7" s="61" t="s">
        <v>424</v>
      </c>
    </row>
    <row r="8" spans="1:5" s="34" customFormat="1">
      <c r="A8" s="62" t="s">
        <v>114</v>
      </c>
      <c r="B8" s="69">
        <v>3217</v>
      </c>
      <c r="C8" s="64" t="s">
        <v>424</v>
      </c>
    </row>
    <row r="9" spans="1:5" s="34" customFormat="1">
      <c r="A9" s="3"/>
    </row>
    <row r="10" spans="1:5" s="34" customFormat="1" ht="28.8">
      <c r="A10" s="62" t="s">
        <v>233</v>
      </c>
      <c r="B10" s="64" t="s">
        <v>131</v>
      </c>
      <c r="C10" s="64" t="s">
        <v>136</v>
      </c>
    </row>
    <row r="11" spans="1:5" ht="15" customHeight="1">
      <c r="A11" s="165" t="s">
        <v>442</v>
      </c>
      <c r="B11" s="61">
        <v>713</v>
      </c>
      <c r="C11" s="61" t="s">
        <v>424</v>
      </c>
    </row>
    <row r="12" spans="1:5">
      <c r="A12" s="62" t="s">
        <v>443</v>
      </c>
      <c r="B12" s="68">
        <v>1053</v>
      </c>
      <c r="C12" s="61" t="s">
        <v>424</v>
      </c>
    </row>
    <row r="13" spans="1:5">
      <c r="A13" s="62" t="s">
        <v>444</v>
      </c>
      <c r="B13" s="61">
        <v>356</v>
      </c>
      <c r="C13" s="61" t="s">
        <v>424</v>
      </c>
    </row>
    <row r="14" spans="1:5">
      <c r="A14" s="62" t="s">
        <v>445</v>
      </c>
      <c r="B14" s="68">
        <v>1607</v>
      </c>
      <c r="C14" s="61" t="s">
        <v>424</v>
      </c>
    </row>
    <row r="15" spans="1:5">
      <c r="A15" s="62" t="s">
        <v>114</v>
      </c>
      <c r="B15" s="69">
        <v>3729</v>
      </c>
      <c r="C15" s="64" t="s">
        <v>424</v>
      </c>
    </row>
    <row r="16" spans="1:5">
      <c r="A16" s="3"/>
      <c r="B16" s="34"/>
      <c r="C16" s="34"/>
    </row>
    <row r="17" spans="1:3" ht="28.8">
      <c r="A17" s="62" t="s">
        <v>232</v>
      </c>
      <c r="B17" s="64" t="s">
        <v>131</v>
      </c>
      <c r="C17" s="64" t="s">
        <v>136</v>
      </c>
    </row>
    <row r="18" spans="1:3" ht="15" customHeight="1">
      <c r="A18" s="62" t="s">
        <v>446</v>
      </c>
      <c r="B18" s="61">
        <v>571</v>
      </c>
      <c r="C18" s="61">
        <v>90</v>
      </c>
    </row>
    <row r="19" spans="1:3">
      <c r="A19" s="62" t="s">
        <v>443</v>
      </c>
      <c r="B19" s="68">
        <v>1090</v>
      </c>
      <c r="C19" s="61">
        <v>133</v>
      </c>
    </row>
    <row r="20" spans="1:3">
      <c r="A20" s="62" t="s">
        <v>444</v>
      </c>
      <c r="B20" s="61">
        <v>346</v>
      </c>
      <c r="C20" s="61">
        <v>78</v>
      </c>
    </row>
    <row r="21" spans="1:3">
      <c r="A21" s="62" t="s">
        <v>445</v>
      </c>
      <c r="B21" s="68">
        <v>1556</v>
      </c>
      <c r="C21" s="61">
        <v>265</v>
      </c>
    </row>
    <row r="22" spans="1:3">
      <c r="A22" s="62" t="s">
        <v>114</v>
      </c>
      <c r="B22" s="69">
        <v>3372</v>
      </c>
      <c r="C22" s="64">
        <v>566</v>
      </c>
    </row>
    <row r="24" spans="1:3" ht="28.8">
      <c r="A24" s="62" t="s">
        <v>231</v>
      </c>
      <c r="B24" s="64" t="s">
        <v>131</v>
      </c>
      <c r="C24" s="64" t="s">
        <v>136</v>
      </c>
    </row>
    <row r="25" spans="1:3">
      <c r="A25" s="62" t="s">
        <v>446</v>
      </c>
      <c r="B25" s="61">
        <v>444</v>
      </c>
      <c r="C25" s="61">
        <v>58</v>
      </c>
    </row>
    <row r="26" spans="1:3">
      <c r="A26" s="62" t="s">
        <v>443</v>
      </c>
      <c r="B26" s="68">
        <v>258</v>
      </c>
      <c r="C26" s="61">
        <v>55</v>
      </c>
    </row>
    <row r="27" spans="1:3">
      <c r="A27" s="62" t="s">
        <v>444</v>
      </c>
      <c r="B27" s="61">
        <v>796</v>
      </c>
      <c r="C27" s="61">
        <v>99</v>
      </c>
    </row>
    <row r="28" spans="1:3">
      <c r="A28" s="62" t="s">
        <v>445</v>
      </c>
      <c r="B28" s="68">
        <v>2287</v>
      </c>
      <c r="C28" s="61">
        <v>362</v>
      </c>
    </row>
    <row r="29" spans="1:3">
      <c r="A29" s="62" t="s">
        <v>179</v>
      </c>
      <c r="B29" s="69">
        <f>SUM(B25:B28)</f>
        <v>3785</v>
      </c>
      <c r="C29" s="64">
        <f>SUM(C25:C28)</f>
        <v>574</v>
      </c>
    </row>
    <row r="31" spans="1:3">
      <c r="A31" s="92"/>
    </row>
  </sheetData>
  <hyperlinks>
    <hyperlink ref="A1" location="Inhoud!A1" display="Terug naar inhoud" xr:uid="{15712ADE-DF75-43E0-9744-FA1D5188100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8273-D8F6-40F7-AD19-AA968CA0899C}">
  <dimension ref="A1:F4"/>
  <sheetViews>
    <sheetView workbookViewId="0"/>
  </sheetViews>
  <sheetFormatPr defaultColWidth="9.109375" defaultRowHeight="14.4"/>
  <cols>
    <col min="1" max="5" width="17.6640625" style="34" customWidth="1"/>
    <col min="6" max="6" width="19.5546875" style="34" customWidth="1"/>
    <col min="7" max="16384" width="9.109375" style="34"/>
  </cols>
  <sheetData>
    <row r="1" spans="1:6">
      <c r="A1" s="226" t="s">
        <v>87</v>
      </c>
    </row>
    <row r="2" spans="1:6">
      <c r="A2" s="1" t="s">
        <v>121</v>
      </c>
    </row>
    <row r="3" spans="1:6" ht="28.8">
      <c r="A3" s="106" t="s">
        <v>122</v>
      </c>
      <c r="B3" s="106" t="s">
        <v>102</v>
      </c>
      <c r="C3" s="106" t="s">
        <v>103</v>
      </c>
      <c r="D3" s="135" t="s">
        <v>104</v>
      </c>
      <c r="E3" s="135" t="s">
        <v>105</v>
      </c>
      <c r="F3" s="25" t="s">
        <v>106</v>
      </c>
    </row>
    <row r="4" spans="1:6">
      <c r="A4" s="43">
        <v>171628</v>
      </c>
      <c r="B4" s="43">
        <v>174222</v>
      </c>
      <c r="C4" s="43">
        <v>177592</v>
      </c>
      <c r="D4" s="184">
        <v>180177</v>
      </c>
      <c r="E4" s="229">
        <v>185586</v>
      </c>
      <c r="F4" s="172">
        <f>(E4-D4)/D4</f>
        <v>3.0020479861469555E-2</v>
      </c>
    </row>
  </sheetData>
  <hyperlinks>
    <hyperlink ref="A1" location="Inhoud!A1" display="Terug naar inhoud" xr:uid="{47EEDE18-EC0A-4025-BBB2-15465243B36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DDEC-FB94-4E35-88A1-92FB7C54DB06}">
  <dimension ref="A1:J24"/>
  <sheetViews>
    <sheetView workbookViewId="0"/>
  </sheetViews>
  <sheetFormatPr defaultColWidth="9.109375" defaultRowHeight="14.4"/>
  <cols>
    <col min="1" max="1" width="16.33203125" style="2" bestFit="1" customWidth="1"/>
    <col min="2" max="7" width="15.6640625" style="2" customWidth="1"/>
    <col min="8" max="8" width="17.6640625" style="2" customWidth="1"/>
    <col min="9" max="16384" width="9.109375" style="2"/>
  </cols>
  <sheetData>
    <row r="1" spans="1:10">
      <c r="A1" s="226" t="s">
        <v>87</v>
      </c>
    </row>
    <row r="2" spans="1:10">
      <c r="A2" s="88" t="s">
        <v>123</v>
      </c>
    </row>
    <row r="3" spans="1:10" ht="43.2">
      <c r="A3" s="85" t="s">
        <v>124</v>
      </c>
      <c r="B3" s="89" t="s">
        <v>125</v>
      </c>
      <c r="C3" s="89" t="s">
        <v>126</v>
      </c>
      <c r="D3" s="89" t="s">
        <v>127</v>
      </c>
      <c r="E3" s="89" t="s">
        <v>128</v>
      </c>
      <c r="F3" s="89" t="s">
        <v>129</v>
      </c>
      <c r="G3" s="89" t="s">
        <v>130</v>
      </c>
      <c r="H3" s="89" t="s">
        <v>106</v>
      </c>
    </row>
    <row r="4" spans="1:10">
      <c r="A4" s="86" t="s">
        <v>131</v>
      </c>
      <c r="B4" s="83" t="s">
        <v>132</v>
      </c>
      <c r="C4" s="81">
        <v>20029</v>
      </c>
      <c r="D4" s="81">
        <v>18995</v>
      </c>
      <c r="E4" s="81">
        <v>19319</v>
      </c>
      <c r="F4" s="81">
        <v>18638</v>
      </c>
      <c r="G4" s="161">
        <v>19429</v>
      </c>
      <c r="H4" s="82">
        <f>(G4-F4)/F4</f>
        <v>4.2440175984547697E-2</v>
      </c>
      <c r="I4" s="112"/>
    </row>
    <row r="5" spans="1:10">
      <c r="A5" s="86" t="s">
        <v>131</v>
      </c>
      <c r="B5" s="83" t="s">
        <v>133</v>
      </c>
      <c r="C5" s="81">
        <v>59767</v>
      </c>
      <c r="D5" s="81">
        <v>62593</v>
      </c>
      <c r="E5" s="81">
        <v>63802</v>
      </c>
      <c r="F5" s="81">
        <v>65868</v>
      </c>
      <c r="G5" s="161">
        <v>67554</v>
      </c>
      <c r="H5" s="82">
        <f t="shared" ref="H5:H14" si="0">(G5-F5)/F5</f>
        <v>2.559664784113682E-2</v>
      </c>
      <c r="I5" s="112"/>
      <c r="J5" s="4"/>
    </row>
    <row r="6" spans="1:10">
      <c r="A6" s="86" t="s">
        <v>134</v>
      </c>
      <c r="B6" s="83" t="s">
        <v>132</v>
      </c>
      <c r="C6" s="81">
        <v>1027</v>
      </c>
      <c r="D6" s="81">
        <v>1020</v>
      </c>
      <c r="E6" s="81">
        <v>1069</v>
      </c>
      <c r="F6" s="81">
        <v>1242</v>
      </c>
      <c r="G6" s="161">
        <v>1392</v>
      </c>
      <c r="H6" s="82">
        <f t="shared" si="0"/>
        <v>0.12077294685990338</v>
      </c>
      <c r="I6" s="112"/>
      <c r="J6" s="4"/>
    </row>
    <row r="7" spans="1:10">
      <c r="A7" s="86" t="s">
        <v>134</v>
      </c>
      <c r="B7" s="83" t="s">
        <v>133</v>
      </c>
      <c r="C7" s="81">
        <v>2734</v>
      </c>
      <c r="D7" s="81">
        <v>2857</v>
      </c>
      <c r="E7" s="81">
        <v>2887</v>
      </c>
      <c r="F7" s="81">
        <v>2938</v>
      </c>
      <c r="G7" s="161">
        <v>2980</v>
      </c>
      <c r="H7" s="82">
        <f t="shared" si="0"/>
        <v>1.4295439074200136E-2</v>
      </c>
      <c r="I7" s="112"/>
      <c r="J7" s="4"/>
    </row>
    <row r="8" spans="1:10">
      <c r="A8" s="86" t="s">
        <v>135</v>
      </c>
      <c r="B8" s="83" t="s">
        <v>132</v>
      </c>
      <c r="C8" s="81">
        <v>1676</v>
      </c>
      <c r="D8" s="81">
        <v>1723</v>
      </c>
      <c r="E8" s="81">
        <v>1904</v>
      </c>
      <c r="F8" s="81">
        <v>1811</v>
      </c>
      <c r="G8" s="161">
        <v>1765</v>
      </c>
      <c r="H8" s="82">
        <f t="shared" si="0"/>
        <v>-2.5400331308669245E-2</v>
      </c>
      <c r="I8" s="112"/>
    </row>
    <row r="9" spans="1:10">
      <c r="A9" s="86" t="s">
        <v>135</v>
      </c>
      <c r="B9" s="83" t="s">
        <v>133</v>
      </c>
      <c r="C9" s="81">
        <v>4854</v>
      </c>
      <c r="D9" s="81">
        <v>4957</v>
      </c>
      <c r="E9" s="81">
        <v>4998</v>
      </c>
      <c r="F9" s="81">
        <v>5174</v>
      </c>
      <c r="G9" s="161">
        <v>5393</v>
      </c>
      <c r="H9" s="82">
        <f t="shared" si="0"/>
        <v>4.2327019713954389E-2</v>
      </c>
      <c r="I9" s="112"/>
    </row>
    <row r="10" spans="1:10" ht="28.8">
      <c r="A10" s="86" t="s">
        <v>136</v>
      </c>
      <c r="B10" s="83" t="s">
        <v>132</v>
      </c>
      <c r="C10" s="81">
        <v>18197</v>
      </c>
      <c r="D10" s="81">
        <v>17222</v>
      </c>
      <c r="E10" s="81">
        <v>18188</v>
      </c>
      <c r="F10" s="81">
        <v>16772</v>
      </c>
      <c r="G10" s="280">
        <v>18177</v>
      </c>
      <c r="H10" s="82">
        <f t="shared" si="0"/>
        <v>8.3770569997615077E-2</v>
      </c>
      <c r="I10" s="112"/>
    </row>
    <row r="11" spans="1:10" ht="28.8">
      <c r="A11" s="86" t="s">
        <v>136</v>
      </c>
      <c r="B11" s="83" t="s">
        <v>133</v>
      </c>
      <c r="C11" s="81">
        <v>63741</v>
      </c>
      <c r="D11" s="81">
        <v>65491</v>
      </c>
      <c r="E11" s="81">
        <v>66319</v>
      </c>
      <c r="F11" s="81">
        <v>68740</v>
      </c>
      <c r="G11" s="280">
        <v>70185</v>
      </c>
      <c r="H11" s="82">
        <f t="shared" si="0"/>
        <v>2.1021239453011348E-2</v>
      </c>
      <c r="I11" s="112"/>
    </row>
    <row r="12" spans="1:10">
      <c r="A12" s="86" t="s">
        <v>113</v>
      </c>
      <c r="B12" s="83" t="s">
        <v>132</v>
      </c>
      <c r="C12" s="83">
        <v>775</v>
      </c>
      <c r="D12" s="83">
        <v>709</v>
      </c>
      <c r="E12" s="83">
        <v>723</v>
      </c>
      <c r="F12" s="83">
        <v>736</v>
      </c>
      <c r="G12" s="161">
        <v>708</v>
      </c>
      <c r="H12" s="82">
        <f t="shared" si="0"/>
        <v>-3.8043478260869568E-2</v>
      </c>
      <c r="I12" s="112"/>
    </row>
    <row r="13" spans="1:10">
      <c r="A13" s="86" t="s">
        <v>137</v>
      </c>
      <c r="B13" s="83" t="s">
        <v>133</v>
      </c>
      <c r="C13" s="81">
        <v>1855</v>
      </c>
      <c r="D13" s="81">
        <v>1877</v>
      </c>
      <c r="E13" s="81">
        <v>1868</v>
      </c>
      <c r="F13" s="81">
        <v>1899</v>
      </c>
      <c r="G13" s="161">
        <v>1877</v>
      </c>
      <c r="H13" s="82">
        <f t="shared" si="0"/>
        <v>-1.1585044760400211E-2</v>
      </c>
      <c r="I13" s="112"/>
    </row>
    <row r="14" spans="1:10">
      <c r="A14" s="90"/>
      <c r="B14" s="87" t="s">
        <v>114</v>
      </c>
      <c r="C14" s="84">
        <v>174655</v>
      </c>
      <c r="D14" s="84">
        <v>177444</v>
      </c>
      <c r="E14" s="84">
        <v>181077</v>
      </c>
      <c r="F14" s="84">
        <v>183818</v>
      </c>
      <c r="G14" s="270">
        <v>189460</v>
      </c>
      <c r="H14" s="82">
        <f t="shared" si="0"/>
        <v>3.0693403257569987E-2</v>
      </c>
      <c r="I14" s="112"/>
    </row>
    <row r="15" spans="1:10">
      <c r="A15" s="91" t="s">
        <v>138</v>
      </c>
      <c r="B15" s="136"/>
      <c r="C15" s="137"/>
      <c r="D15" s="137"/>
      <c r="E15" s="137"/>
      <c r="F15" s="137"/>
      <c r="G15" s="137"/>
      <c r="H15" s="138"/>
      <c r="I15" s="112"/>
    </row>
    <row r="16" spans="1:10">
      <c r="A16" s="2" t="s">
        <v>139</v>
      </c>
      <c r="B16" s="136"/>
      <c r="C16" s="137"/>
      <c r="D16" s="137"/>
      <c r="E16" s="137"/>
      <c r="F16" s="137"/>
      <c r="G16" s="137"/>
      <c r="H16" s="138"/>
      <c r="I16" s="112"/>
    </row>
    <row r="17" spans="1:9">
      <c r="A17" s="2" t="s">
        <v>140</v>
      </c>
      <c r="B17" s="136"/>
      <c r="C17" s="137"/>
      <c r="D17" s="137"/>
      <c r="E17" s="137"/>
      <c r="F17" s="137"/>
      <c r="G17" s="137"/>
      <c r="H17" s="138"/>
      <c r="I17" s="112"/>
    </row>
    <row r="18" spans="1:9">
      <c r="A18" s="2" t="s">
        <v>141</v>
      </c>
      <c r="B18" s="136"/>
      <c r="C18" s="137"/>
      <c r="D18" s="137"/>
      <c r="E18" s="137"/>
      <c r="F18" s="137"/>
      <c r="G18" s="137"/>
      <c r="H18" s="138"/>
      <c r="I18" s="112"/>
    </row>
    <row r="19" spans="1:9">
      <c r="B19" s="136"/>
      <c r="C19" s="137"/>
      <c r="D19" s="137"/>
      <c r="E19" s="137"/>
      <c r="F19" s="137"/>
      <c r="G19" s="137"/>
      <c r="H19" s="138"/>
      <c r="I19" s="112"/>
    </row>
    <row r="20" spans="1:9">
      <c r="F20" s="4"/>
    </row>
    <row r="22" spans="1:9">
      <c r="A22" s="91"/>
    </row>
    <row r="23" spans="1:9">
      <c r="A23" s="91"/>
    </row>
    <row r="24" spans="1:9">
      <c r="A24" s="91"/>
    </row>
  </sheetData>
  <hyperlinks>
    <hyperlink ref="A1" location="Inhoud!A1" display="Terug naar inhoud" xr:uid="{79719CC7-8F3F-4D73-9226-36CB9BCB5E4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017D-83E2-4089-B649-9C5895399C92}">
  <dimension ref="A1:C63"/>
  <sheetViews>
    <sheetView workbookViewId="0">
      <selection activeCell="A5" sqref="A5"/>
    </sheetView>
  </sheetViews>
  <sheetFormatPr defaultColWidth="9.109375" defaultRowHeight="14.4"/>
  <cols>
    <col min="1" max="1" width="17.6640625" style="2" customWidth="1"/>
    <col min="2" max="2" width="25.88671875" style="19" customWidth="1"/>
    <col min="3" max="3" width="28.33203125" style="2" bestFit="1" customWidth="1"/>
    <col min="4" max="16384" width="9.109375" style="2"/>
  </cols>
  <sheetData>
    <row r="1" spans="1:3">
      <c r="A1" s="226" t="s">
        <v>87</v>
      </c>
    </row>
    <row r="2" spans="1:3">
      <c r="A2" s="3" t="s">
        <v>142</v>
      </c>
    </row>
    <row r="3" spans="1:3">
      <c r="A3" s="117">
        <v>2022</v>
      </c>
    </row>
    <row r="4" spans="1:3" ht="29.4" thickBot="1">
      <c r="A4" s="26" t="s">
        <v>143</v>
      </c>
      <c r="B4" s="296" t="s">
        <v>144</v>
      </c>
      <c r="C4" s="296"/>
    </row>
    <row r="5" spans="1:3" ht="15" thickBot="1">
      <c r="A5" s="271">
        <v>33</v>
      </c>
      <c r="B5" s="21" t="s">
        <v>145</v>
      </c>
      <c r="C5" s="297" t="s">
        <v>146</v>
      </c>
    </row>
    <row r="6" spans="1:3" ht="15" thickBot="1">
      <c r="A6" s="272">
        <v>10</v>
      </c>
      <c r="B6" s="21" t="s">
        <v>147</v>
      </c>
      <c r="C6" s="298"/>
    </row>
    <row r="7" spans="1:3" ht="15" thickBot="1">
      <c r="A7" s="272">
        <v>29</v>
      </c>
      <c r="B7" s="22" t="s">
        <v>148</v>
      </c>
      <c r="C7" s="298"/>
    </row>
    <row r="8" spans="1:3" ht="15" thickBot="1">
      <c r="A8" s="272">
        <v>9</v>
      </c>
      <c r="B8" s="23" t="s">
        <v>149</v>
      </c>
      <c r="C8" s="298"/>
    </row>
    <row r="9" spans="1:3" ht="15" thickBot="1">
      <c r="A9" s="272">
        <v>30</v>
      </c>
      <c r="B9" s="23" t="s">
        <v>150</v>
      </c>
      <c r="C9" s="298"/>
    </row>
    <row r="10" spans="1:3" ht="15" thickBot="1">
      <c r="A10" s="272">
        <v>12</v>
      </c>
      <c r="B10" s="23" t="s">
        <v>151</v>
      </c>
      <c r="C10" s="298"/>
    </row>
    <row r="11" spans="1:3" ht="15" thickBot="1">
      <c r="A11" s="272">
        <v>12</v>
      </c>
      <c r="B11" s="23" t="s">
        <v>152</v>
      </c>
      <c r="C11" s="299"/>
    </row>
    <row r="12" spans="1:3" ht="15" thickBot="1">
      <c r="A12" s="272">
        <v>12</v>
      </c>
      <c r="B12" s="23" t="s">
        <v>153</v>
      </c>
      <c r="C12" s="24" t="s">
        <v>154</v>
      </c>
    </row>
    <row r="13" spans="1:3" ht="15" thickBot="1">
      <c r="A13" s="272">
        <v>147</v>
      </c>
      <c r="B13" s="25" t="s">
        <v>155</v>
      </c>
      <c r="C13" s="25"/>
    </row>
    <row r="14" spans="1:3">
      <c r="A14" s="3"/>
    </row>
    <row r="15" spans="1:3">
      <c r="A15" s="3"/>
    </row>
    <row r="16" spans="1:3">
      <c r="A16" s="117">
        <v>2021</v>
      </c>
    </row>
    <row r="17" spans="1:3" ht="28.8">
      <c r="A17" s="26" t="s">
        <v>143</v>
      </c>
      <c r="B17" s="296" t="s">
        <v>144</v>
      </c>
      <c r="C17" s="296"/>
    </row>
    <row r="18" spans="1:3">
      <c r="A18" s="185">
        <v>31</v>
      </c>
      <c r="B18" s="21" t="s">
        <v>145</v>
      </c>
      <c r="C18" s="297" t="s">
        <v>156</v>
      </c>
    </row>
    <row r="19" spans="1:3">
      <c r="A19" s="185">
        <v>9</v>
      </c>
      <c r="B19" s="21" t="s">
        <v>147</v>
      </c>
      <c r="C19" s="298"/>
    </row>
    <row r="20" spans="1:3">
      <c r="A20" s="185">
        <v>28</v>
      </c>
      <c r="B20" s="22" t="s">
        <v>148</v>
      </c>
      <c r="C20" s="298"/>
    </row>
    <row r="21" spans="1:3">
      <c r="A21" s="185">
        <v>11</v>
      </c>
      <c r="B21" s="23" t="s">
        <v>149</v>
      </c>
      <c r="C21" s="298"/>
    </row>
    <row r="22" spans="1:3">
      <c r="A22" s="185">
        <v>27</v>
      </c>
      <c r="B22" s="23" t="s">
        <v>150</v>
      </c>
      <c r="C22" s="298"/>
    </row>
    <row r="23" spans="1:3">
      <c r="A23" s="185">
        <v>12</v>
      </c>
      <c r="B23" s="23" t="s">
        <v>151</v>
      </c>
      <c r="C23" s="298"/>
    </row>
    <row r="24" spans="1:3">
      <c r="A24" s="185">
        <v>12</v>
      </c>
      <c r="B24" s="23" t="s">
        <v>152</v>
      </c>
      <c r="C24" s="299"/>
    </row>
    <row r="25" spans="1:3">
      <c r="A25" s="185">
        <v>12</v>
      </c>
      <c r="B25" s="23" t="s">
        <v>153</v>
      </c>
      <c r="C25" s="24" t="s">
        <v>157</v>
      </c>
    </row>
    <row r="26" spans="1:3">
      <c r="A26" s="185">
        <v>142</v>
      </c>
      <c r="B26" s="25" t="s">
        <v>155</v>
      </c>
      <c r="C26" s="25"/>
    </row>
    <row r="27" spans="1:3">
      <c r="A27" s="3"/>
    </row>
    <row r="28" spans="1:3">
      <c r="A28" s="3"/>
    </row>
    <row r="29" spans="1:3">
      <c r="A29" s="117">
        <v>2020</v>
      </c>
    </row>
    <row r="30" spans="1:3" ht="30" customHeight="1">
      <c r="A30" s="26" t="s">
        <v>143</v>
      </c>
      <c r="B30" s="296" t="s">
        <v>144</v>
      </c>
      <c r="C30" s="296"/>
    </row>
    <row r="31" spans="1:3">
      <c r="A31" s="27">
        <v>34</v>
      </c>
      <c r="B31" s="21" t="s">
        <v>145</v>
      </c>
      <c r="C31" s="297" t="s">
        <v>156</v>
      </c>
    </row>
    <row r="32" spans="1:3">
      <c r="A32" s="27">
        <v>12</v>
      </c>
      <c r="B32" s="21" t="s">
        <v>147</v>
      </c>
      <c r="C32" s="298"/>
    </row>
    <row r="33" spans="1:3">
      <c r="A33" s="27">
        <v>29</v>
      </c>
      <c r="B33" s="22" t="s">
        <v>148</v>
      </c>
      <c r="C33" s="298"/>
    </row>
    <row r="34" spans="1:3">
      <c r="A34" s="27">
        <v>11</v>
      </c>
      <c r="B34" s="23" t="s">
        <v>149</v>
      </c>
      <c r="C34" s="298"/>
    </row>
    <row r="35" spans="1:3">
      <c r="A35" s="27">
        <v>30</v>
      </c>
      <c r="B35" s="23" t="s">
        <v>150</v>
      </c>
      <c r="C35" s="298"/>
    </row>
    <row r="36" spans="1:3">
      <c r="A36" s="27">
        <v>11</v>
      </c>
      <c r="B36" s="23" t="s">
        <v>151</v>
      </c>
      <c r="C36" s="298"/>
    </row>
    <row r="37" spans="1:3">
      <c r="A37" s="27">
        <v>12</v>
      </c>
      <c r="B37" s="23" t="s">
        <v>152</v>
      </c>
      <c r="C37" s="299"/>
    </row>
    <row r="38" spans="1:3">
      <c r="A38" s="27">
        <v>11</v>
      </c>
      <c r="B38" s="23" t="s">
        <v>153</v>
      </c>
      <c r="C38" s="24" t="s">
        <v>157</v>
      </c>
    </row>
    <row r="39" spans="1:3">
      <c r="A39" s="27">
        <v>150</v>
      </c>
      <c r="B39" s="25" t="s">
        <v>155</v>
      </c>
      <c r="C39" s="25"/>
    </row>
    <row r="40" spans="1:3">
      <c r="A40" s="118"/>
      <c r="B40" s="119"/>
      <c r="C40" s="119"/>
    </row>
    <row r="41" spans="1:3">
      <c r="A41" s="117">
        <v>2019</v>
      </c>
    </row>
    <row r="42" spans="1:3" s="92" customFormat="1" ht="30.75" customHeight="1">
      <c r="A42" s="26" t="s">
        <v>143</v>
      </c>
      <c r="B42" s="300" t="s">
        <v>144</v>
      </c>
      <c r="C42" s="301"/>
    </row>
    <row r="43" spans="1:3">
      <c r="A43" s="27">
        <v>40</v>
      </c>
      <c r="B43" s="21" t="s">
        <v>145</v>
      </c>
      <c r="C43" s="297" t="s">
        <v>156</v>
      </c>
    </row>
    <row r="44" spans="1:3">
      <c r="A44" s="27">
        <v>15</v>
      </c>
      <c r="B44" s="22" t="s">
        <v>147</v>
      </c>
      <c r="C44" s="298"/>
    </row>
    <row r="45" spans="1:3">
      <c r="A45" s="27">
        <v>26</v>
      </c>
      <c r="B45" s="23" t="s">
        <v>148</v>
      </c>
      <c r="C45" s="298"/>
    </row>
    <row r="46" spans="1:3">
      <c r="A46" s="27">
        <v>16</v>
      </c>
      <c r="B46" s="23" t="s">
        <v>149</v>
      </c>
      <c r="C46" s="298"/>
    </row>
    <row r="47" spans="1:3">
      <c r="A47" s="27">
        <v>27</v>
      </c>
      <c r="B47" s="23" t="s">
        <v>150</v>
      </c>
      <c r="C47" s="298"/>
    </row>
    <row r="48" spans="1:3">
      <c r="A48" s="27">
        <v>12</v>
      </c>
      <c r="B48" s="23" t="s">
        <v>151</v>
      </c>
      <c r="C48" s="298"/>
    </row>
    <row r="49" spans="1:3">
      <c r="A49" s="27">
        <v>13</v>
      </c>
      <c r="B49" s="23" t="s">
        <v>152</v>
      </c>
      <c r="C49" s="299"/>
    </row>
    <row r="50" spans="1:3">
      <c r="A50" s="27">
        <v>11</v>
      </c>
      <c r="B50" s="23" t="s">
        <v>153</v>
      </c>
      <c r="C50" s="24" t="s">
        <v>157</v>
      </c>
    </row>
    <row r="51" spans="1:3">
      <c r="A51" s="27">
        <v>160</v>
      </c>
      <c r="B51" s="116" t="s">
        <v>155</v>
      </c>
      <c r="C51" s="113"/>
    </row>
    <row r="53" spans="1:3">
      <c r="A53" s="117">
        <v>2018</v>
      </c>
    </row>
    <row r="54" spans="1:3" ht="28.8">
      <c r="A54" s="26" t="s">
        <v>143</v>
      </c>
      <c r="B54" s="300" t="s">
        <v>144</v>
      </c>
      <c r="C54" s="301"/>
    </row>
    <row r="55" spans="1:3">
      <c r="A55" s="27">
        <v>37</v>
      </c>
      <c r="B55" s="21" t="s">
        <v>145</v>
      </c>
      <c r="C55" s="297" t="s">
        <v>158</v>
      </c>
    </row>
    <row r="56" spans="1:3">
      <c r="A56" s="27">
        <v>9</v>
      </c>
      <c r="B56" s="22" t="s">
        <v>147</v>
      </c>
      <c r="C56" s="298"/>
    </row>
    <row r="57" spans="1:3">
      <c r="A57" s="27">
        <v>31</v>
      </c>
      <c r="B57" s="23" t="s">
        <v>148</v>
      </c>
      <c r="C57" s="298"/>
    </row>
    <row r="58" spans="1:3">
      <c r="A58" s="27">
        <v>15</v>
      </c>
      <c r="B58" s="23" t="s">
        <v>149</v>
      </c>
      <c r="C58" s="298"/>
    </row>
    <row r="59" spans="1:3">
      <c r="A59" s="27">
        <v>30</v>
      </c>
      <c r="B59" s="23" t="s">
        <v>150</v>
      </c>
      <c r="C59" s="298"/>
    </row>
    <row r="60" spans="1:3">
      <c r="A60" s="27">
        <v>13</v>
      </c>
      <c r="B60" s="23" t="s">
        <v>151</v>
      </c>
      <c r="C60" s="298"/>
    </row>
    <row r="61" spans="1:3">
      <c r="A61" s="27">
        <v>13</v>
      </c>
      <c r="B61" s="23" t="s">
        <v>152</v>
      </c>
      <c r="C61" s="299"/>
    </row>
    <row r="62" spans="1:3">
      <c r="A62" s="27">
        <v>11</v>
      </c>
      <c r="B62" s="23" t="s">
        <v>153</v>
      </c>
      <c r="C62" s="24" t="s">
        <v>159</v>
      </c>
    </row>
    <row r="63" spans="1:3">
      <c r="A63" s="27">
        <v>159</v>
      </c>
      <c r="B63" s="116" t="s">
        <v>155</v>
      </c>
      <c r="C63" s="113"/>
    </row>
  </sheetData>
  <mergeCells count="10">
    <mergeCell ref="C55:C61"/>
    <mergeCell ref="B30:C30"/>
    <mergeCell ref="C31:C37"/>
    <mergeCell ref="B42:C42"/>
    <mergeCell ref="C43:C49"/>
    <mergeCell ref="B4:C4"/>
    <mergeCell ref="C5:C11"/>
    <mergeCell ref="B17:C17"/>
    <mergeCell ref="C18:C24"/>
    <mergeCell ref="B54:C54"/>
  </mergeCells>
  <hyperlinks>
    <hyperlink ref="A1" location="Inhoud!A1" display="Terug naar inhoud" xr:uid="{6A442D01-2F91-4A1A-92AA-37E169F0AAD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6355D-1798-49A1-9238-DB02F93FF919}">
  <dimension ref="A1:H9"/>
  <sheetViews>
    <sheetView tabSelected="1" workbookViewId="0"/>
  </sheetViews>
  <sheetFormatPr defaultColWidth="9.109375" defaultRowHeight="14.4"/>
  <cols>
    <col min="1" max="1" width="12.44140625" style="2" customWidth="1"/>
    <col min="2" max="2" width="24.88671875" style="2" customWidth="1"/>
    <col min="3" max="3" width="19" style="2" customWidth="1"/>
    <col min="4" max="6" width="21.44140625" style="2" customWidth="1"/>
    <col min="7" max="7" width="17.6640625" style="2" customWidth="1"/>
    <col min="8" max="16384" width="9.109375" style="2"/>
  </cols>
  <sheetData>
    <row r="1" spans="1:8">
      <c r="A1" s="226" t="s">
        <v>87</v>
      </c>
    </row>
    <row r="2" spans="1:8">
      <c r="A2" s="3" t="s">
        <v>160</v>
      </c>
    </row>
    <row r="3" spans="1:8" ht="43.2">
      <c r="A3" s="6"/>
      <c r="B3" s="18">
        <v>2018</v>
      </c>
      <c r="C3" s="18">
        <v>2019</v>
      </c>
      <c r="D3" s="18">
        <v>2020</v>
      </c>
      <c r="E3" s="18">
        <v>2021</v>
      </c>
      <c r="F3" s="18">
        <v>2022</v>
      </c>
      <c r="G3" s="18" t="s">
        <v>106</v>
      </c>
    </row>
    <row r="4" spans="1:8">
      <c r="A4" s="6" t="s">
        <v>161</v>
      </c>
      <c r="B4" s="28">
        <v>5533897171.2700005</v>
      </c>
      <c r="C4" s="28">
        <v>5748593741.9700003</v>
      </c>
      <c r="D4" s="28">
        <v>5940233894.8999996</v>
      </c>
      <c r="E4" s="230">
        <v>6205724858.8400002</v>
      </c>
      <c r="F4" s="269">
        <v>6926801982.869998</v>
      </c>
      <c r="G4" s="231">
        <f>F4/E4-1</f>
        <v>0.11619547118703299</v>
      </c>
      <c r="H4" s="112"/>
    </row>
    <row r="5" spans="1:8">
      <c r="A5" s="6" t="s">
        <v>162</v>
      </c>
      <c r="B5" s="28">
        <v>355075901.33999997</v>
      </c>
      <c r="C5" s="28">
        <v>367591620.74000001</v>
      </c>
      <c r="D5" s="28">
        <v>453616159.60000002</v>
      </c>
      <c r="E5" s="230">
        <v>496800784.24000001</v>
      </c>
      <c r="F5" s="269">
        <v>550990877.81659973</v>
      </c>
      <c r="G5" s="231">
        <f t="shared" ref="G5:G9" si="0">F5/E5-1</f>
        <v>0.10907811600881234</v>
      </c>
      <c r="H5" s="112"/>
    </row>
    <row r="6" spans="1:8">
      <c r="A6" s="6" t="s">
        <v>163</v>
      </c>
      <c r="B6" s="28">
        <v>312557638.22000003</v>
      </c>
      <c r="C6" s="28">
        <v>321989884.82999998</v>
      </c>
      <c r="D6" s="28">
        <v>334104552.19</v>
      </c>
      <c r="E6" s="230">
        <v>273022313.95999998</v>
      </c>
      <c r="F6" s="269">
        <v>304291090.66999996</v>
      </c>
      <c r="G6" s="231">
        <f t="shared" si="0"/>
        <v>0.11452828252924818</v>
      </c>
      <c r="H6" s="112"/>
    </row>
    <row r="7" spans="1:8">
      <c r="A7" s="6" t="s">
        <v>164</v>
      </c>
      <c r="B7" s="28">
        <v>1353726502.3800001</v>
      </c>
      <c r="C7" s="28">
        <v>1406106744.96</v>
      </c>
      <c r="D7" s="28">
        <v>1456758365.47</v>
      </c>
      <c r="E7" s="230">
        <v>1492877859.04</v>
      </c>
      <c r="F7" s="269">
        <v>1637693784.8699999</v>
      </c>
      <c r="G7" s="231">
        <f t="shared" si="0"/>
        <v>9.7004537211854869E-2</v>
      </c>
      <c r="H7" s="112"/>
    </row>
    <row r="8" spans="1:8">
      <c r="A8" s="6" t="s">
        <v>137</v>
      </c>
      <c r="B8" s="28">
        <v>2503159.4500000002</v>
      </c>
      <c r="C8" s="28">
        <v>2034249.99</v>
      </c>
      <c r="D8" s="28">
        <v>1797851.95</v>
      </c>
      <c r="E8" s="230">
        <v>1660691.6</v>
      </c>
      <c r="F8" s="269">
        <v>2671621.0299999937</v>
      </c>
      <c r="G8" s="231">
        <f t="shared" si="0"/>
        <v>0.60874001530446331</v>
      </c>
      <c r="H8" s="112"/>
    </row>
    <row r="9" spans="1:8">
      <c r="A9" s="10" t="s">
        <v>114</v>
      </c>
      <c r="B9" s="29">
        <v>7557760372.6599998</v>
      </c>
      <c r="C9" s="29">
        <v>7846316242.4899998</v>
      </c>
      <c r="D9" s="29">
        <v>8186510824.1099997</v>
      </c>
      <c r="E9" s="232">
        <v>8470086507.6800003</v>
      </c>
      <c r="F9" s="232">
        <f>SUM(F4:F8)</f>
        <v>9422449357.2565975</v>
      </c>
      <c r="G9" s="231">
        <f t="shared" si="0"/>
        <v>0.11243838521756189</v>
      </c>
      <c r="H9" s="112"/>
    </row>
  </sheetData>
  <hyperlinks>
    <hyperlink ref="A1" location="Inhoud!A1" display="Terug naar inhoud" xr:uid="{BA851C7E-3F0D-4E46-88B7-410A9A8D327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0E19-9917-4BBC-8BBC-4F95A8C28B3E}">
  <dimension ref="A1:C41"/>
  <sheetViews>
    <sheetView workbookViewId="0">
      <selection activeCell="A11" sqref="A11"/>
    </sheetView>
  </sheetViews>
  <sheetFormatPr defaultColWidth="9.109375" defaultRowHeight="14.4"/>
  <cols>
    <col min="1" max="1" width="25.33203125" style="2" customWidth="1"/>
    <col min="2" max="2" width="31.5546875" style="2" bestFit="1" customWidth="1"/>
    <col min="3" max="3" width="25.109375" style="2" bestFit="1" customWidth="1"/>
    <col min="4" max="16384" width="9.109375" style="2"/>
  </cols>
  <sheetData>
    <row r="1" spans="1:3">
      <c r="A1" s="226" t="s">
        <v>87</v>
      </c>
    </row>
    <row r="2" spans="1:3">
      <c r="A2" s="35" t="s">
        <v>165</v>
      </c>
    </row>
    <row r="3" spans="1:3">
      <c r="A3" s="120">
        <v>2022</v>
      </c>
    </row>
    <row r="4" spans="1:3">
      <c r="A4" s="30" t="s">
        <v>30</v>
      </c>
      <c r="B4" s="31" t="s">
        <v>166</v>
      </c>
      <c r="C4" s="31" t="s">
        <v>167</v>
      </c>
    </row>
    <row r="5" spans="1:3">
      <c r="A5" s="32" t="s">
        <v>168</v>
      </c>
      <c r="B5" s="33">
        <v>60453</v>
      </c>
      <c r="C5" s="33">
        <v>50698</v>
      </c>
    </row>
    <row r="6" spans="1:3">
      <c r="A6" s="32" t="s">
        <v>169</v>
      </c>
      <c r="B6" s="33">
        <v>59225</v>
      </c>
      <c r="C6" s="33">
        <v>51089</v>
      </c>
    </row>
    <row r="7" spans="1:3">
      <c r="A7" s="32" t="s">
        <v>170</v>
      </c>
      <c r="B7" s="33">
        <v>58922</v>
      </c>
      <c r="C7" s="33">
        <v>52113</v>
      </c>
    </row>
    <row r="8" spans="1:3">
      <c r="A8" s="32" t="s">
        <v>171</v>
      </c>
      <c r="B8" s="33">
        <v>74722</v>
      </c>
      <c r="C8" s="33">
        <v>66616</v>
      </c>
    </row>
    <row r="9" spans="1:3">
      <c r="A9" s="3" t="s">
        <v>172</v>
      </c>
      <c r="B9" s="34"/>
      <c r="C9" s="34"/>
    </row>
    <row r="10" spans="1:3">
      <c r="A10" s="35"/>
    </row>
    <row r="11" spans="1:3">
      <c r="A11" s="120">
        <v>2021</v>
      </c>
    </row>
    <row r="12" spans="1:3">
      <c r="A12" s="30" t="s">
        <v>30</v>
      </c>
      <c r="B12" s="31" t="s">
        <v>166</v>
      </c>
      <c r="C12" s="31" t="s">
        <v>167</v>
      </c>
    </row>
    <row r="13" spans="1:3">
      <c r="A13" s="32" t="s">
        <v>168</v>
      </c>
      <c r="B13" s="33">
        <v>53965</v>
      </c>
      <c r="C13" s="33">
        <v>46733</v>
      </c>
    </row>
    <row r="14" spans="1:3">
      <c r="A14" s="32" t="s">
        <v>169</v>
      </c>
      <c r="B14" s="33">
        <v>53072</v>
      </c>
      <c r="C14" s="33">
        <v>46818</v>
      </c>
    </row>
    <row r="15" spans="1:3">
      <c r="A15" s="32" t="s">
        <v>170</v>
      </c>
      <c r="B15" s="33">
        <v>52766</v>
      </c>
      <c r="C15" s="33">
        <v>48168</v>
      </c>
    </row>
    <row r="16" spans="1:3">
      <c r="A16" s="32" t="s">
        <v>171</v>
      </c>
      <c r="B16" s="33">
        <v>66842</v>
      </c>
      <c r="C16" s="33">
        <v>61321</v>
      </c>
    </row>
    <row r="17" spans="1:3">
      <c r="A17" s="3" t="s">
        <v>172</v>
      </c>
      <c r="B17" s="34"/>
      <c r="C17" s="34"/>
    </row>
    <row r="18" spans="1:3" s="34" customFormat="1">
      <c r="A18" s="35"/>
      <c r="B18" s="2"/>
      <c r="C18" s="2"/>
    </row>
    <row r="19" spans="1:3">
      <c r="A19" s="120">
        <v>2020</v>
      </c>
    </row>
    <row r="20" spans="1:3">
      <c r="A20" s="30" t="s">
        <v>30</v>
      </c>
      <c r="B20" s="31" t="s">
        <v>166</v>
      </c>
      <c r="C20" s="31" t="s">
        <v>167</v>
      </c>
    </row>
    <row r="21" spans="1:3">
      <c r="A21" s="32" t="s">
        <v>168</v>
      </c>
      <c r="B21" s="33">
        <v>53544</v>
      </c>
      <c r="C21" s="33">
        <v>46469</v>
      </c>
    </row>
    <row r="22" spans="1:3">
      <c r="A22" s="32" t="s">
        <v>169</v>
      </c>
      <c r="B22" s="33">
        <v>52786</v>
      </c>
      <c r="C22" s="33">
        <v>46284</v>
      </c>
    </row>
    <row r="23" spans="1:3">
      <c r="A23" s="32" t="s">
        <v>170</v>
      </c>
      <c r="B23" s="33">
        <v>52616</v>
      </c>
      <c r="C23" s="33">
        <v>47313</v>
      </c>
    </row>
    <row r="24" spans="1:3">
      <c r="A24" s="32" t="s">
        <v>171</v>
      </c>
      <c r="B24" s="33">
        <v>66878</v>
      </c>
      <c r="C24" s="33">
        <v>60145</v>
      </c>
    </row>
    <row r="25" spans="1:3">
      <c r="A25" s="3" t="s">
        <v>172</v>
      </c>
      <c r="B25" s="34"/>
      <c r="C25" s="34"/>
    </row>
    <row r="26" spans="1:3" s="34" customFormat="1">
      <c r="A26" s="2"/>
      <c r="B26" s="2"/>
      <c r="C26" s="2"/>
    </row>
    <row r="27" spans="1:3">
      <c r="A27" s="120">
        <v>2019</v>
      </c>
    </row>
    <row r="28" spans="1:3">
      <c r="A28" s="30" t="s">
        <v>30</v>
      </c>
      <c r="B28" s="31" t="s">
        <v>166</v>
      </c>
      <c r="C28" s="31" t="s">
        <v>167</v>
      </c>
    </row>
    <row r="29" spans="1:3">
      <c r="A29" s="32" t="s">
        <v>168</v>
      </c>
      <c r="B29" s="33">
        <v>52044</v>
      </c>
      <c r="C29" s="33">
        <v>45100</v>
      </c>
    </row>
    <row r="30" spans="1:3">
      <c r="A30" s="32" t="s">
        <v>169</v>
      </c>
      <c r="B30" s="33">
        <v>51520</v>
      </c>
      <c r="C30" s="33">
        <v>44918</v>
      </c>
    </row>
    <row r="31" spans="1:3">
      <c r="A31" s="32" t="s">
        <v>170</v>
      </c>
      <c r="B31" s="33">
        <v>51312</v>
      </c>
      <c r="C31" s="33">
        <v>45898</v>
      </c>
    </row>
    <row r="32" spans="1:3">
      <c r="A32" s="32" t="s">
        <v>171</v>
      </c>
      <c r="B32" s="33">
        <v>65156</v>
      </c>
      <c r="C32" s="33">
        <v>58237</v>
      </c>
    </row>
    <row r="33" spans="1:3">
      <c r="A33" s="3" t="s">
        <v>172</v>
      </c>
      <c r="B33" s="34"/>
      <c r="C33" s="34"/>
    </row>
    <row r="35" spans="1:3">
      <c r="A35" s="120">
        <v>2018</v>
      </c>
    </row>
    <row r="36" spans="1:3">
      <c r="A36" s="30" t="s">
        <v>30</v>
      </c>
      <c r="B36" s="31" t="s">
        <v>166</v>
      </c>
      <c r="C36" s="31" t="s">
        <v>167</v>
      </c>
    </row>
    <row r="37" spans="1:3">
      <c r="A37" s="32" t="s">
        <v>168</v>
      </c>
      <c r="B37" s="33">
        <v>51424</v>
      </c>
      <c r="C37" s="33">
        <v>44752</v>
      </c>
    </row>
    <row r="38" spans="1:3">
      <c r="A38" s="32" t="s">
        <v>169</v>
      </c>
      <c r="B38" s="33">
        <v>51281</v>
      </c>
      <c r="C38" s="33">
        <v>44858</v>
      </c>
    </row>
    <row r="39" spans="1:3">
      <c r="A39" s="32" t="s">
        <v>170</v>
      </c>
      <c r="B39" s="33">
        <v>50720</v>
      </c>
      <c r="C39" s="33">
        <v>45800</v>
      </c>
    </row>
    <row r="40" spans="1:3">
      <c r="A40" s="32" t="s">
        <v>171</v>
      </c>
      <c r="B40" s="33">
        <v>64570</v>
      </c>
      <c r="C40" s="33">
        <v>57964</v>
      </c>
    </row>
    <row r="41" spans="1:3">
      <c r="A41" s="3" t="s">
        <v>172</v>
      </c>
      <c r="B41" s="34"/>
      <c r="C41" s="34"/>
    </row>
  </sheetData>
  <hyperlinks>
    <hyperlink ref="A1" location="Inhoud!A1" display="Terug naar inhoud" xr:uid="{4E6C8F09-C761-4BCF-8C52-6CD2972AAAA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2CA810236A2A4CB614BEF20BCB512B" ma:contentTypeVersion="18" ma:contentTypeDescription="Een nieuw document maken." ma:contentTypeScope="" ma:versionID="59b7b046b0a5e8c7581f9b42a96172ca">
  <xsd:schema xmlns:xsd="http://www.w3.org/2001/XMLSchema" xmlns:xs="http://www.w3.org/2001/XMLSchema" xmlns:p="http://schemas.microsoft.com/office/2006/metadata/properties" xmlns:ns2="5ae5ecd4-640d-42d4-8d53-116c80b125de" xmlns:ns3="c00577b3-22c8-48c6-a5fa-98178e34ec9c" xmlns:ns4="9a9ec0f0-7796-43d0-ac1f-4c8c46ee0bd1" targetNamespace="http://schemas.microsoft.com/office/2006/metadata/properties" ma:root="true" ma:fieldsID="d2e931edd8c426a1c5aaad98bb3c448b" ns2:_="" ns3:_="" ns4:_="">
    <xsd:import namespace="5ae5ecd4-640d-42d4-8d53-116c80b125de"/>
    <xsd:import namespace="c00577b3-22c8-48c6-a5fa-98178e34ec9c"/>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5ecd4-640d-42d4-8d53-116c80b12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577b3-22c8-48c6-a5fa-98178e34ec9c"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9d408bd-7ef0-4d7b-928c-d90451726316}"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e5ecd4-640d-42d4-8d53-116c80b125de">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6F8564A5-E899-44D9-BD9D-03C98F90F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5ecd4-640d-42d4-8d53-116c80b125de"/>
    <ds:schemaRef ds:uri="c00577b3-22c8-48c6-a5fa-98178e34ec9c"/>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FF7F0A-69A5-4657-8BF9-228CAB5ED84D}">
  <ds:schemaRefs>
    <ds:schemaRef ds:uri="http://schemas.microsoft.com/sharepoint/v3/contenttype/forms"/>
  </ds:schemaRefs>
</ds:datastoreItem>
</file>

<file path=customXml/itemProps3.xml><?xml version="1.0" encoding="utf-8"?>
<ds:datastoreItem xmlns:ds="http://schemas.openxmlformats.org/officeDocument/2006/customXml" ds:itemID="{658FCC81-6BDB-4D61-A1F3-0136039622C1}">
  <ds:schemaRefs>
    <ds:schemaRef ds:uri="http://schemas.microsoft.com/office/2006/documentManagement/types"/>
    <ds:schemaRef ds:uri="http://schemas.microsoft.com/office/2006/metadata/properties"/>
    <ds:schemaRef ds:uri="5ae5ecd4-640d-42d4-8d53-116c80b125de"/>
    <ds:schemaRef ds:uri="http://purl.org/dc/elements/1.1/"/>
    <ds:schemaRef ds:uri="c00577b3-22c8-48c6-a5fa-98178e34ec9c"/>
    <ds:schemaRef ds:uri="9a9ec0f0-7796-43d0-ac1f-4c8c46ee0bd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44</vt:i4>
      </vt:variant>
      <vt:variant>
        <vt:lpstr>Benoemde bereiken</vt:lpstr>
      </vt:variant>
      <vt:variant>
        <vt:i4>1</vt:i4>
      </vt:variant>
    </vt:vector>
  </HeadingPairs>
  <TitlesOfParts>
    <vt:vector size="45" baseType="lpstr">
      <vt:lpstr>Inhoud</vt:lpstr>
      <vt:lpstr>3.69</vt:lpstr>
      <vt:lpstr>3.70</vt:lpstr>
      <vt:lpstr>3.71</vt:lpstr>
      <vt:lpstr>3.72</vt:lpstr>
      <vt:lpstr>3.73</vt:lpstr>
      <vt:lpstr>3.74</vt:lpstr>
      <vt:lpstr>3.75</vt:lpstr>
      <vt:lpstr>3.76</vt:lpstr>
      <vt:lpstr>3.77</vt:lpstr>
      <vt:lpstr>3.78</vt:lpstr>
      <vt:lpstr>3.79</vt:lpstr>
      <vt:lpstr>3.80</vt:lpstr>
      <vt:lpstr>3.81</vt:lpstr>
      <vt:lpstr>3.82</vt:lpstr>
      <vt:lpstr>3.83</vt:lpstr>
      <vt:lpstr>3.84</vt:lpstr>
      <vt:lpstr>3.85</vt:lpstr>
      <vt:lpstr>3.86</vt:lpstr>
      <vt:lpstr>3.87</vt:lpstr>
      <vt:lpstr>3.88</vt:lpstr>
      <vt:lpstr>3.89</vt:lpstr>
      <vt:lpstr>3.90</vt:lpstr>
      <vt:lpstr>3.91</vt:lpstr>
      <vt:lpstr>3.92</vt:lpstr>
      <vt:lpstr>3.93</vt:lpstr>
      <vt:lpstr>3.94</vt:lpstr>
      <vt:lpstr>3.95</vt:lpstr>
      <vt:lpstr>3.96</vt:lpstr>
      <vt:lpstr>3.97</vt:lpstr>
      <vt:lpstr>3.98</vt:lpstr>
      <vt:lpstr>3.99</vt:lpstr>
      <vt:lpstr>3.100</vt:lpstr>
      <vt:lpstr>3.101</vt:lpstr>
      <vt:lpstr>3.102</vt:lpstr>
      <vt:lpstr>3.103</vt:lpstr>
      <vt:lpstr>3.104</vt:lpstr>
      <vt:lpstr>3.105</vt:lpstr>
      <vt:lpstr>3.106</vt:lpstr>
      <vt:lpstr>3.107</vt:lpstr>
      <vt:lpstr>3.108</vt:lpstr>
      <vt:lpstr>3.109</vt:lpstr>
      <vt:lpstr>3.110</vt:lpstr>
      <vt:lpstr>3.111</vt:lpstr>
      <vt:lpstr>'3.76'!_ftn1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den Broeck, Kris OND</dc:creator>
  <cp:keywords/>
  <dc:description/>
  <cp:lastModifiedBy>Van BiesenSiel</cp:lastModifiedBy>
  <cp:revision/>
  <dcterms:created xsi:type="dcterms:W3CDTF">2018-10-04T09:23:46Z</dcterms:created>
  <dcterms:modified xsi:type="dcterms:W3CDTF">2023-12-20T10:19:39Z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0x010100F62CA810236A2A4CB614BEF20BCB512B</vt:lpwstr>
  </property>
  <property fmtid="{D5CDD505-2E9C-101B-9397-08002B2CF9AE}" pid="3" name="MediaServiceImageTags">
    <vt:lpwstr/>
  </property>
</Properties>
</file>