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BaO/"/>
    </mc:Choice>
  </mc:AlternateContent>
  <xr:revisionPtr revIDLastSave="33" documentId="8_{09D0C835-887B-4E0E-8E0A-F0E95C57737F}" xr6:coauthVersionLast="47" xr6:coauthVersionMax="47" xr10:uidLastSave="{B0D80B71-14AB-401C-9057-ED7D181B5968}"/>
  <bookViews>
    <workbookView xWindow="-108" yWindow="-108" windowWidth="23256" windowHeight="12576" activeTab="1" xr2:uid="{DB8F7A5D-F810-4BB2-8FCC-0F33639E53B3}"/>
  </bookViews>
  <sheets>
    <sheet name="Toelichting" sheetId="23" r:id="rId1"/>
    <sheet name="Scoreblad B-O-T-V" sheetId="22" r:id="rId2"/>
    <sheet name="Scorematrix B-O-T-V" sheetId="21" r:id="rId3"/>
    <sheet name="Evolutie pendel" sheetId="24" r:id="rId4"/>
  </sheets>
  <definedNames>
    <definedName name="_xlnm._FilterDatabase" localSheetId="3" hidden="1">'Evolutie pendel'!$A$1:$K$33</definedName>
    <definedName name="_xlnm._FilterDatabase" localSheetId="1" hidden="1">'Scoreblad B-O-T-V'!$A$7:$AN$35</definedName>
    <definedName name="_xlnm._FilterDatabase" localSheetId="2" hidden="1">'Scorematrix B-O-T-V'!$A$5:$AN$33</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1" l="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6" i="21"/>
  <c r="B3" i="21"/>
  <c r="D3" i="21"/>
  <c r="R6" i="21"/>
  <c r="S6" i="21"/>
  <c r="T6" i="21"/>
  <c r="R7" i="21"/>
  <c r="S7" i="21"/>
  <c r="T7" i="21"/>
  <c r="R8" i="21"/>
  <c r="S8" i="21"/>
  <c r="T8" i="21"/>
  <c r="R9" i="21"/>
  <c r="S9" i="21"/>
  <c r="T9" i="21"/>
  <c r="R10" i="21"/>
  <c r="S10" i="21"/>
  <c r="T10" i="21"/>
  <c r="R11" i="21"/>
  <c r="S11" i="21"/>
  <c r="T11" i="21"/>
  <c r="R12" i="21"/>
  <c r="S12" i="21"/>
  <c r="T12" i="21"/>
  <c r="R13" i="21"/>
  <c r="S13" i="21"/>
  <c r="T13" i="21"/>
  <c r="R14" i="21"/>
  <c r="S14" i="21"/>
  <c r="T14" i="21"/>
  <c r="R15" i="21"/>
  <c r="S15" i="21"/>
  <c r="T15" i="21"/>
  <c r="R16" i="21"/>
  <c r="S16" i="21"/>
  <c r="T16" i="21"/>
  <c r="R17" i="21"/>
  <c r="S17" i="21"/>
  <c r="T17" i="21"/>
  <c r="R18" i="21"/>
  <c r="S18" i="21"/>
  <c r="T18" i="21"/>
  <c r="R19" i="21"/>
  <c r="S19" i="21"/>
  <c r="T19" i="21"/>
  <c r="R20" i="21"/>
  <c r="S20" i="21"/>
  <c r="T20" i="21"/>
  <c r="R21" i="21"/>
  <c r="S21" i="21"/>
  <c r="T21" i="21"/>
  <c r="R22" i="21"/>
  <c r="S22" i="21"/>
  <c r="T22" i="21"/>
  <c r="R23" i="21"/>
  <c r="S23" i="21"/>
  <c r="T23" i="21"/>
  <c r="R24" i="21"/>
  <c r="S24" i="21"/>
  <c r="T24" i="21"/>
  <c r="R25" i="21"/>
  <c r="S25" i="21"/>
  <c r="T25" i="21"/>
  <c r="R26" i="21"/>
  <c r="S26" i="21"/>
  <c r="T26" i="21"/>
  <c r="R27" i="21"/>
  <c r="S27" i="21"/>
  <c r="T27" i="21"/>
  <c r="R28" i="21"/>
  <c r="S28" i="21"/>
  <c r="T28" i="21"/>
  <c r="R29" i="21"/>
  <c r="S29" i="21"/>
  <c r="T29" i="21"/>
  <c r="R30" i="21"/>
  <c r="S30" i="21"/>
  <c r="T30" i="21"/>
  <c r="R31" i="21"/>
  <c r="S31" i="21"/>
  <c r="T31" i="21"/>
  <c r="R32" i="21"/>
  <c r="S32" i="21"/>
  <c r="T32" i="21"/>
  <c r="R33" i="21"/>
  <c r="S33" i="21"/>
  <c r="T33"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6" i="21"/>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I6" i="21"/>
  <c r="J6" i="21"/>
  <c r="H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6" i="21"/>
  <c r="D9" i="22" l="1"/>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8" i="22"/>
  <c r="D5" i="22"/>
  <c r="AA35" i="22"/>
  <c r="W35" i="22"/>
  <c r="AE35" i="22" s="1"/>
  <c r="V35" i="22"/>
  <c r="U35" i="22"/>
  <c r="P35" i="22"/>
  <c r="O35" i="22"/>
  <c r="M35" i="22"/>
  <c r="K35" i="22"/>
  <c r="G35" i="22"/>
  <c r="F35" i="22"/>
  <c r="AC35" i="22" s="1"/>
  <c r="AA34" i="22"/>
  <c r="U34" i="22"/>
  <c r="W34" i="22" s="1"/>
  <c r="AE34" i="22" s="1"/>
  <c r="P34" i="22"/>
  <c r="O34" i="22"/>
  <c r="F34" i="22" s="1"/>
  <c r="AC34" i="22" s="1"/>
  <c r="M34" i="22"/>
  <c r="K34" i="22"/>
  <c r="G34" i="22"/>
  <c r="AA33" i="22"/>
  <c r="U33" i="22"/>
  <c r="W33" i="22" s="1"/>
  <c r="AE33" i="22" s="1"/>
  <c r="P33" i="22"/>
  <c r="O33" i="22"/>
  <c r="F33" i="22" s="1"/>
  <c r="AC33" i="22" s="1"/>
  <c r="M33" i="22"/>
  <c r="K33" i="22"/>
  <c r="G33" i="22"/>
  <c r="AI32" i="22"/>
  <c r="AA32" i="22"/>
  <c r="W32" i="22"/>
  <c r="AE32" i="22" s="1"/>
  <c r="V32" i="22"/>
  <c r="U32" i="22"/>
  <c r="P32" i="22"/>
  <c r="O32" i="22"/>
  <c r="M32" i="22"/>
  <c r="K32" i="22"/>
  <c r="G32" i="22"/>
  <c r="F32" i="22"/>
  <c r="AC32" i="22" s="1"/>
  <c r="AA31" i="22"/>
  <c r="U31" i="22"/>
  <c r="P31" i="22"/>
  <c r="O31" i="22"/>
  <c r="F31" i="22" s="1"/>
  <c r="AC31" i="22" s="1"/>
  <c r="M31" i="22"/>
  <c r="K31" i="22"/>
  <c r="G31" i="22"/>
  <c r="AA30" i="22"/>
  <c r="W30" i="22"/>
  <c r="AE30" i="22" s="1"/>
  <c r="V30" i="22"/>
  <c r="U30" i="22"/>
  <c r="P30" i="22"/>
  <c r="O30" i="22"/>
  <c r="M30" i="22"/>
  <c r="K30" i="22"/>
  <c r="G30" i="22"/>
  <c r="F30" i="22"/>
  <c r="AC30" i="22" s="1"/>
  <c r="AA29" i="22"/>
  <c r="U29" i="22"/>
  <c r="W29" i="22" s="1"/>
  <c r="AE29" i="22" s="1"/>
  <c r="P29" i="22"/>
  <c r="O29" i="22"/>
  <c r="F29" i="22" s="1"/>
  <c r="AC29" i="22" s="1"/>
  <c r="M29" i="22"/>
  <c r="K29" i="22"/>
  <c r="G29" i="22"/>
  <c r="AI28" i="22"/>
  <c r="AA28" i="22"/>
  <c r="U28" i="22"/>
  <c r="W28" i="22" s="1"/>
  <c r="AE28" i="22" s="1"/>
  <c r="P28" i="22"/>
  <c r="O28" i="22"/>
  <c r="M28" i="22"/>
  <c r="K28" i="22"/>
  <c r="G28" i="22"/>
  <c r="F28" i="22"/>
  <c r="AC28" i="22" s="1"/>
  <c r="AK27" i="22"/>
  <c r="AI27" i="22"/>
  <c r="AA27" i="22"/>
  <c r="U27" i="22"/>
  <c r="P27" i="22"/>
  <c r="O27" i="22"/>
  <c r="F27" i="22" s="1"/>
  <c r="AC27" i="22" s="1"/>
  <c r="M27" i="22"/>
  <c r="K27" i="22"/>
  <c r="G27" i="22"/>
  <c r="AK26" i="22"/>
  <c r="AI26" i="22"/>
  <c r="AA26" i="22"/>
  <c r="U26" i="22"/>
  <c r="V26" i="22" s="1"/>
  <c r="P26" i="22"/>
  <c r="O26" i="22"/>
  <c r="F26" i="22" s="1"/>
  <c r="AC26" i="22" s="1"/>
  <c r="M26" i="22"/>
  <c r="K26" i="22"/>
  <c r="G26" i="22"/>
  <c r="AK25" i="22"/>
  <c r="AI25" i="22"/>
  <c r="AA25" i="22"/>
  <c r="W25" i="22"/>
  <c r="AE25" i="22" s="1"/>
  <c r="V25" i="22"/>
  <c r="U25" i="22"/>
  <c r="P25" i="22"/>
  <c r="O25" i="22"/>
  <c r="M25" i="22"/>
  <c r="K25" i="22"/>
  <c r="G25" i="22"/>
  <c r="F25" i="22"/>
  <c r="AC25" i="22" s="1"/>
  <c r="AK24" i="22"/>
  <c r="AI24" i="22"/>
  <c r="AA24" i="22"/>
  <c r="U24" i="22"/>
  <c r="P24" i="22"/>
  <c r="O24" i="22"/>
  <c r="F24" i="22" s="1"/>
  <c r="AC24" i="22" s="1"/>
  <c r="M24" i="22"/>
  <c r="K24" i="22"/>
  <c r="G24" i="22"/>
  <c r="AK23" i="22"/>
  <c r="AI23" i="22"/>
  <c r="AA23" i="22"/>
  <c r="U23" i="22"/>
  <c r="W23" i="22" s="1"/>
  <c r="AE23" i="22" s="1"/>
  <c r="P23" i="22"/>
  <c r="O23" i="22"/>
  <c r="F23" i="22" s="1"/>
  <c r="AC23" i="22" s="1"/>
  <c r="M23" i="22"/>
  <c r="K23" i="22"/>
  <c r="G23" i="22"/>
  <c r="AK22" i="22"/>
  <c r="AI22" i="22"/>
  <c r="AA22" i="22"/>
  <c r="U22" i="22"/>
  <c r="P22" i="22"/>
  <c r="O22" i="22"/>
  <c r="F22" i="22" s="1"/>
  <c r="AC22" i="22" s="1"/>
  <c r="M22" i="22"/>
  <c r="K22" i="22"/>
  <c r="G22" i="22"/>
  <c r="AK21" i="22"/>
  <c r="AI21" i="22"/>
  <c r="AA21" i="22"/>
  <c r="U21" i="22"/>
  <c r="W21" i="22" s="1"/>
  <c r="AE21" i="22" s="1"/>
  <c r="P21" i="22"/>
  <c r="O21" i="22"/>
  <c r="F21" i="22" s="1"/>
  <c r="AC21" i="22" s="1"/>
  <c r="M21" i="22"/>
  <c r="K21" i="22"/>
  <c r="G21" i="22"/>
  <c r="AK20" i="22"/>
  <c r="AI20" i="22"/>
  <c r="AA20" i="22"/>
  <c r="U20" i="22"/>
  <c r="P20" i="22"/>
  <c r="O20" i="22"/>
  <c r="F20" i="22" s="1"/>
  <c r="AC20" i="22" s="1"/>
  <c r="M20" i="22"/>
  <c r="K20" i="22"/>
  <c r="G20" i="22"/>
  <c r="AI19" i="22"/>
  <c r="AA19" i="22"/>
  <c r="U19" i="22"/>
  <c r="P19" i="22"/>
  <c r="O19" i="22"/>
  <c r="F19" i="22" s="1"/>
  <c r="AC19" i="22" s="1"/>
  <c r="M19" i="22"/>
  <c r="K19" i="22"/>
  <c r="G19" i="22"/>
  <c r="AI18" i="22"/>
  <c r="AA18" i="22"/>
  <c r="U18" i="22"/>
  <c r="W18" i="22" s="1"/>
  <c r="AE18" i="22" s="1"/>
  <c r="P18" i="22"/>
  <c r="O18" i="22"/>
  <c r="F18" i="22" s="1"/>
  <c r="AC18" i="22" s="1"/>
  <c r="M18" i="22"/>
  <c r="K18" i="22"/>
  <c r="G18" i="22"/>
  <c r="AI17" i="22"/>
  <c r="AA17" i="22"/>
  <c r="U17" i="22"/>
  <c r="W17" i="22" s="1"/>
  <c r="AE17" i="22" s="1"/>
  <c r="P17" i="22"/>
  <c r="O17" i="22"/>
  <c r="F17" i="22" s="1"/>
  <c r="AC17" i="22" s="1"/>
  <c r="M17" i="22"/>
  <c r="K17" i="22"/>
  <c r="G17" i="22"/>
  <c r="AI16" i="22"/>
  <c r="AA16" i="22"/>
  <c r="U16" i="22"/>
  <c r="V16" i="22" s="1"/>
  <c r="P16" i="22"/>
  <c r="O16" i="22"/>
  <c r="F16" i="22" s="1"/>
  <c r="AC16" i="22" s="1"/>
  <c r="M16" i="22"/>
  <c r="K16" i="22"/>
  <c r="G16" i="22"/>
  <c r="AI15" i="22"/>
  <c r="AA15" i="22"/>
  <c r="U15" i="22"/>
  <c r="P15" i="22"/>
  <c r="O15" i="22"/>
  <c r="F15" i="22" s="1"/>
  <c r="AC15" i="22" s="1"/>
  <c r="M15" i="22"/>
  <c r="K15" i="22"/>
  <c r="G15" i="22"/>
  <c r="AI14" i="22"/>
  <c r="AA14" i="22"/>
  <c r="U14" i="22"/>
  <c r="P14" i="22"/>
  <c r="O14" i="22"/>
  <c r="F14" i="22" s="1"/>
  <c r="AC14" i="22" s="1"/>
  <c r="M14" i="22"/>
  <c r="K14" i="22"/>
  <c r="G14" i="22"/>
  <c r="AI13" i="22"/>
  <c r="AA13" i="22"/>
  <c r="U13" i="22"/>
  <c r="W13" i="22" s="1"/>
  <c r="AE13" i="22" s="1"/>
  <c r="P13" i="22"/>
  <c r="O13" i="22"/>
  <c r="F13" i="22" s="1"/>
  <c r="AC13" i="22" s="1"/>
  <c r="M13" i="22"/>
  <c r="K13" i="22"/>
  <c r="G13" i="22"/>
  <c r="AI12" i="22"/>
  <c r="AA12" i="22"/>
  <c r="U12" i="22"/>
  <c r="P12" i="22"/>
  <c r="O12" i="22"/>
  <c r="F12" i="22" s="1"/>
  <c r="AC12" i="22" s="1"/>
  <c r="M12" i="22"/>
  <c r="K12" i="22"/>
  <c r="G12" i="22"/>
  <c r="AI11" i="22"/>
  <c r="AA11" i="22"/>
  <c r="U11" i="22"/>
  <c r="W11" i="22" s="1"/>
  <c r="AE11" i="22" s="1"/>
  <c r="P11" i="22"/>
  <c r="O11" i="22"/>
  <c r="F11" i="22" s="1"/>
  <c r="AC11" i="22" s="1"/>
  <c r="M11" i="22"/>
  <c r="K11" i="22"/>
  <c r="G11" i="22"/>
  <c r="AI10" i="22"/>
  <c r="AA10" i="22"/>
  <c r="U10" i="22"/>
  <c r="W10" i="22" s="1"/>
  <c r="AE10" i="22" s="1"/>
  <c r="P10" i="22"/>
  <c r="O10" i="22"/>
  <c r="F10" i="22" s="1"/>
  <c r="AC10" i="22" s="1"/>
  <c r="M10" i="22"/>
  <c r="K10" i="22"/>
  <c r="G10" i="22"/>
  <c r="AI9" i="22"/>
  <c r="AA9" i="22"/>
  <c r="U9" i="22"/>
  <c r="W9" i="22" s="1"/>
  <c r="AE9" i="22" s="1"/>
  <c r="P9" i="22"/>
  <c r="O9" i="22"/>
  <c r="F9" i="22" s="1"/>
  <c r="AC9" i="22" s="1"/>
  <c r="M9" i="22"/>
  <c r="K9" i="22"/>
  <c r="G9" i="22"/>
  <c r="AI8" i="22"/>
  <c r="AA8" i="22"/>
  <c r="U8" i="22"/>
  <c r="V8" i="22" s="1"/>
  <c r="P8" i="22"/>
  <c r="O8" i="22"/>
  <c r="F8" i="22" s="1"/>
  <c r="AC8" i="22" s="1"/>
  <c r="M8" i="22"/>
  <c r="K8" i="22"/>
  <c r="G8" i="22"/>
  <c r="AB5" i="22"/>
  <c r="AA5" i="22"/>
  <c r="T5" i="22"/>
  <c r="S5" i="22"/>
  <c r="R5" i="22"/>
  <c r="Q5" i="22"/>
  <c r="J5" i="22"/>
  <c r="I5" i="22"/>
  <c r="H5" i="22"/>
  <c r="V28" i="22" l="1"/>
  <c r="V33" i="22"/>
  <c r="V29" i="22"/>
  <c r="N13" i="22"/>
  <c r="E13" i="22" s="1"/>
  <c r="AD13" i="22" s="1"/>
  <c r="AH18" i="22"/>
  <c r="W8" i="22"/>
  <c r="AE8" i="22" s="1"/>
  <c r="AH8" i="22"/>
  <c r="AH24" i="22"/>
  <c r="AH21" i="22"/>
  <c r="AH22" i="22"/>
  <c r="AG27" i="22"/>
  <c r="AJ27" i="22" s="1"/>
  <c r="N32" i="22"/>
  <c r="E32" i="22" s="1"/>
  <c r="AD32" i="22" s="1"/>
  <c r="N29" i="22"/>
  <c r="E29" i="22" s="1"/>
  <c r="AD29" i="22" s="1"/>
  <c r="AG13" i="22"/>
  <c r="AK13" i="22" s="1"/>
  <c r="N19" i="22"/>
  <c r="E19" i="22" s="1"/>
  <c r="AD19" i="22" s="1"/>
  <c r="K5" i="22"/>
  <c r="N21" i="22"/>
  <c r="E21" i="22" s="1"/>
  <c r="AD21" i="22" s="1"/>
  <c r="N14" i="22"/>
  <c r="E14" i="22" s="1"/>
  <c r="AD14" i="22" s="1"/>
  <c r="N22" i="22"/>
  <c r="E22" i="22" s="1"/>
  <c r="AD22" i="22" s="1"/>
  <c r="N30" i="22"/>
  <c r="E30" i="22" s="1"/>
  <c r="AD30" i="22" s="1"/>
  <c r="AG17" i="22"/>
  <c r="AK17" i="22" s="1"/>
  <c r="N15" i="22"/>
  <c r="E15" i="22" s="1"/>
  <c r="AD15" i="22" s="1"/>
  <c r="N23" i="22"/>
  <c r="E23" i="22" s="1"/>
  <c r="AD23" i="22" s="1"/>
  <c r="N31" i="22"/>
  <c r="E31" i="22" s="1"/>
  <c r="AD31" i="22" s="1"/>
  <c r="N8" i="22"/>
  <c r="E8" i="22" s="1"/>
  <c r="AD8" i="22" s="1"/>
  <c r="N16" i="22"/>
  <c r="E16" i="22" s="1"/>
  <c r="AD16" i="22" s="1"/>
  <c r="N24" i="22"/>
  <c r="E24" i="22" s="1"/>
  <c r="AD24" i="22" s="1"/>
  <c r="N33" i="22"/>
  <c r="E33" i="22" s="1"/>
  <c r="AD33" i="22" s="1"/>
  <c r="V13" i="22"/>
  <c r="N9" i="22"/>
  <c r="E9" i="22" s="1"/>
  <c r="AD9" i="22" s="1"/>
  <c r="N17" i="22"/>
  <c r="E17" i="22" s="1"/>
  <c r="AD17" i="22" s="1"/>
  <c r="N25" i="22"/>
  <c r="E25" i="22" s="1"/>
  <c r="AD25" i="22" s="1"/>
  <c r="N34" i="22"/>
  <c r="E34" i="22" s="1"/>
  <c r="AD34" i="22" s="1"/>
  <c r="N10" i="22"/>
  <c r="E10" i="22" s="1"/>
  <c r="AD10" i="22" s="1"/>
  <c r="N18" i="22"/>
  <c r="E18" i="22" s="1"/>
  <c r="AD18" i="22" s="1"/>
  <c r="N26" i="22"/>
  <c r="E26" i="22" s="1"/>
  <c r="AD26" i="22" s="1"/>
  <c r="N35" i="22"/>
  <c r="E35" i="22" s="1"/>
  <c r="AD35" i="22" s="1"/>
  <c r="N11" i="22"/>
  <c r="E11" i="22" s="1"/>
  <c r="AD11" i="22" s="1"/>
  <c r="N27" i="22"/>
  <c r="E27" i="22" s="1"/>
  <c r="AD27" i="22" s="1"/>
  <c r="N12" i="22"/>
  <c r="E12" i="22" s="1"/>
  <c r="AD12" i="22" s="1"/>
  <c r="N20" i="22"/>
  <c r="E20" i="22" s="1"/>
  <c r="AD20" i="22" s="1"/>
  <c r="N28" i="22"/>
  <c r="E28" i="22" s="1"/>
  <c r="AD28" i="22" s="1"/>
  <c r="V23" i="22"/>
  <c r="L30" i="22"/>
  <c r="W26" i="22"/>
  <c r="AE26" i="22" s="1"/>
  <c r="L32" i="22"/>
  <c r="AH10" i="22"/>
  <c r="X22" i="22"/>
  <c r="Y22" i="22" s="1"/>
  <c r="AF22" i="22" s="1"/>
  <c r="U5" i="22"/>
  <c r="V5" i="22" s="1"/>
  <c r="AG9" i="22"/>
  <c r="AK9" i="22" s="1"/>
  <c r="AG23" i="22"/>
  <c r="AJ23" i="22" s="1"/>
  <c r="AG10" i="22"/>
  <c r="AK10" i="22" s="1"/>
  <c r="AG18" i="22"/>
  <c r="AK18" i="22" s="1"/>
  <c r="M5" i="22"/>
  <c r="O5" i="22" s="1"/>
  <c r="N5" i="22" s="1"/>
  <c r="AH27" i="22"/>
  <c r="W16" i="22"/>
  <c r="AE16" i="22" s="1"/>
  <c r="X24" i="22"/>
  <c r="Y24" i="22" s="1"/>
  <c r="AF24" i="22" s="1"/>
  <c r="X26" i="22"/>
  <c r="Y26" i="22" s="1"/>
  <c r="AF26" i="22" s="1"/>
  <c r="V34" i="22"/>
  <c r="V10" i="22"/>
  <c r="AH13" i="22"/>
  <c r="X16" i="22"/>
  <c r="Y16" i="22" s="1"/>
  <c r="AF16" i="22" s="1"/>
  <c r="V18" i="22"/>
  <c r="W20" i="22"/>
  <c r="AE20" i="22" s="1"/>
  <c r="V24" i="22"/>
  <c r="X8" i="22"/>
  <c r="Y8" i="22" s="1"/>
  <c r="AF8" i="22" s="1"/>
  <c r="V11" i="22"/>
  <c r="X20" i="22"/>
  <c r="Y20" i="22" s="1"/>
  <c r="AF20" i="22" s="1"/>
  <c r="W24" i="22"/>
  <c r="AE24" i="22" s="1"/>
  <c r="X25" i="22"/>
  <c r="Y25" i="22" s="1"/>
  <c r="AF25" i="22" s="1"/>
  <c r="AL25" i="22" s="1"/>
  <c r="L34" i="22"/>
  <c r="AG11" i="22"/>
  <c r="AK11" i="22" s="1"/>
  <c r="V9" i="22"/>
  <c r="V17" i="22"/>
  <c r="L20" i="22"/>
  <c r="AG24" i="22"/>
  <c r="AJ24" i="22" s="1"/>
  <c r="X27" i="22"/>
  <c r="Y27" i="22" s="1"/>
  <c r="AF27" i="22" s="1"/>
  <c r="X9" i="22"/>
  <c r="Y9" i="22" s="1"/>
  <c r="AF9" i="22" s="1"/>
  <c r="X17" i="22"/>
  <c r="Y17" i="22" s="1"/>
  <c r="AF17" i="22" s="1"/>
  <c r="P5" i="22"/>
  <c r="L28" i="22"/>
  <c r="X15" i="22"/>
  <c r="Y15" i="22" s="1"/>
  <c r="AF15" i="22" s="1"/>
  <c r="X14" i="22"/>
  <c r="Y14" i="22" s="1"/>
  <c r="AF14" i="22" s="1"/>
  <c r="V12" i="22"/>
  <c r="AG25" i="22"/>
  <c r="AJ25" i="22" s="1"/>
  <c r="L26" i="22"/>
  <c r="AH25" i="22"/>
  <c r="L24" i="22"/>
  <c r="AI5" i="22"/>
  <c r="L8" i="22"/>
  <c r="AH9" i="22"/>
  <c r="L15" i="22"/>
  <c r="L13" i="22"/>
  <c r="L14" i="22"/>
  <c r="AG12" i="22"/>
  <c r="X13" i="22"/>
  <c r="Y13" i="22" s="1"/>
  <c r="AF13" i="22" s="1"/>
  <c r="W14" i="22"/>
  <c r="AE14" i="22" s="1"/>
  <c r="AH14" i="22"/>
  <c r="L11" i="22"/>
  <c r="L9" i="22"/>
  <c r="AG8" i="22"/>
  <c r="V14" i="22"/>
  <c r="X33" i="22"/>
  <c r="Y33" i="22" s="1"/>
  <c r="AF33" i="22" s="1"/>
  <c r="X32" i="22"/>
  <c r="Y32" i="22" s="1"/>
  <c r="AF32" i="22" s="1"/>
  <c r="X35" i="22"/>
  <c r="Y35" i="22" s="1"/>
  <c r="AF35" i="22" s="1"/>
  <c r="X34" i="22"/>
  <c r="Y34" i="22" s="1"/>
  <c r="AF34" i="22" s="1"/>
  <c r="W15" i="22"/>
  <c r="AE15" i="22" s="1"/>
  <c r="V15" i="22"/>
  <c r="X31" i="22"/>
  <c r="Y31" i="22" s="1"/>
  <c r="AF31" i="22" s="1"/>
  <c r="X30" i="22"/>
  <c r="Y30" i="22" s="1"/>
  <c r="AF30" i="22" s="1"/>
  <c r="X29" i="22"/>
  <c r="Y29" i="22" s="1"/>
  <c r="AF29" i="22" s="1"/>
  <c r="X28" i="22"/>
  <c r="Y28" i="22" s="1"/>
  <c r="AF28" i="22" s="1"/>
  <c r="AH12" i="22"/>
  <c r="W19" i="22"/>
  <c r="AE19" i="22" s="1"/>
  <c r="V19" i="22"/>
  <c r="V21" i="22"/>
  <c r="W22" i="22"/>
  <c r="AE22" i="22" s="1"/>
  <c r="V22" i="22"/>
  <c r="G5" i="22"/>
  <c r="W12" i="22"/>
  <c r="AE12" i="22" s="1"/>
  <c r="AG14" i="22"/>
  <c r="AH15" i="22"/>
  <c r="L19" i="22"/>
  <c r="L17" i="22"/>
  <c r="AH16" i="22"/>
  <c r="L16" i="22"/>
  <c r="AG16" i="22"/>
  <c r="L18" i="22"/>
  <c r="X23" i="22"/>
  <c r="Y23" i="22" s="1"/>
  <c r="AF23" i="22" s="1"/>
  <c r="X12" i="22"/>
  <c r="Y12" i="22" s="1"/>
  <c r="AF12" i="22" s="1"/>
  <c r="AG19" i="22"/>
  <c r="AH19" i="22"/>
  <c r="L23" i="22"/>
  <c r="L21" i="22"/>
  <c r="L22" i="22"/>
  <c r="AG20" i="22"/>
  <c r="AJ20" i="22" s="1"/>
  <c r="W31" i="22"/>
  <c r="AE31" i="22" s="1"/>
  <c r="V31" i="22"/>
  <c r="L10" i="22"/>
  <c r="AH11" i="22"/>
  <c r="L12" i="22"/>
  <c r="AH20" i="22"/>
  <c r="AH26" i="22"/>
  <c r="AG26" i="22"/>
  <c r="AJ26" i="22" s="1"/>
  <c r="X10" i="22"/>
  <c r="Y10" i="22" s="1"/>
  <c r="AF10" i="22" s="1"/>
  <c r="X11" i="22"/>
  <c r="Y11" i="22" s="1"/>
  <c r="AF11" i="22" s="1"/>
  <c r="X18" i="22"/>
  <c r="Y18" i="22" s="1"/>
  <c r="AF18" i="22" s="1"/>
  <c r="X19" i="22"/>
  <c r="Y19" i="22" s="1"/>
  <c r="AF19" i="22" s="1"/>
  <c r="V20" i="22"/>
  <c r="L27" i="22"/>
  <c r="L25" i="22"/>
  <c r="W27" i="22"/>
  <c r="AE27" i="22" s="1"/>
  <c r="V27" i="22"/>
  <c r="L31" i="22"/>
  <c r="L29" i="22"/>
  <c r="X21" i="22"/>
  <c r="Y21" i="22" s="1"/>
  <c r="AF21" i="22" s="1"/>
  <c r="AG22" i="22"/>
  <c r="AJ22" i="22" s="1"/>
  <c r="AG21" i="22"/>
  <c r="AJ21" i="22" s="1"/>
  <c r="AG15" i="22"/>
  <c r="AH17" i="22"/>
  <c r="AH23" i="22"/>
  <c r="L35" i="22"/>
  <c r="L33" i="22"/>
  <c r="AB3"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6" i="21"/>
  <c r="AA3" i="21"/>
  <c r="R3" i="21"/>
  <c r="S3" i="21"/>
  <c r="T3" i="21"/>
  <c r="Q3" i="21"/>
  <c r="I3" i="21"/>
  <c r="J3" i="21"/>
  <c r="H3" i="21"/>
  <c r="AK24" i="21"/>
  <c r="AI24" i="21"/>
  <c r="AK23" i="21"/>
  <c r="AI23" i="21"/>
  <c r="AK22" i="21"/>
  <c r="AI22" i="21"/>
  <c r="AK21" i="21"/>
  <c r="AI21" i="21"/>
  <c r="AK20" i="21"/>
  <c r="AI20" i="21"/>
  <c r="AK19" i="21"/>
  <c r="AI19" i="21"/>
  <c r="AK25" i="21"/>
  <c r="AI25" i="21"/>
  <c r="AI26" i="21"/>
  <c r="AI30" i="21"/>
  <c r="V28" i="21"/>
  <c r="W28" i="21"/>
  <c r="AE28" i="21" s="1"/>
  <c r="W30" i="21"/>
  <c r="AE30" i="21" s="1"/>
  <c r="V33" i="21"/>
  <c r="W33" i="21"/>
  <c r="AE33" i="21" s="1"/>
  <c r="U7" i="21"/>
  <c r="U8" i="21"/>
  <c r="W8" i="21" s="1"/>
  <c r="AE8" i="21" s="1"/>
  <c r="U9" i="21"/>
  <c r="V9" i="21" s="1"/>
  <c r="U10" i="21"/>
  <c r="V10" i="21" s="1"/>
  <c r="U11" i="21"/>
  <c r="W11" i="21" s="1"/>
  <c r="AE11" i="21" s="1"/>
  <c r="U12" i="21"/>
  <c r="W12" i="21" s="1"/>
  <c r="AE12" i="21" s="1"/>
  <c r="U13" i="21"/>
  <c r="W13" i="21" s="1"/>
  <c r="AE13" i="21" s="1"/>
  <c r="U14" i="21"/>
  <c r="U15" i="21"/>
  <c r="W15" i="21" s="1"/>
  <c r="AE15" i="21" s="1"/>
  <c r="U16" i="21"/>
  <c r="W16" i="21" s="1"/>
  <c r="AE16" i="21" s="1"/>
  <c r="U17" i="21"/>
  <c r="W17" i="21" s="1"/>
  <c r="AE17" i="21" s="1"/>
  <c r="U18" i="21"/>
  <c r="V18" i="21" s="1"/>
  <c r="U19" i="21"/>
  <c r="V19" i="21" s="1"/>
  <c r="U20" i="21"/>
  <c r="W20" i="21" s="1"/>
  <c r="AE20" i="21" s="1"/>
  <c r="U21" i="21"/>
  <c r="V21" i="21" s="1"/>
  <c r="U22" i="21"/>
  <c r="U23" i="21"/>
  <c r="U24" i="21"/>
  <c r="U25" i="21"/>
  <c r="W25" i="21" s="1"/>
  <c r="AE25" i="21" s="1"/>
  <c r="U26" i="21"/>
  <c r="U27" i="21"/>
  <c r="V27" i="21" s="1"/>
  <c r="U28" i="21"/>
  <c r="U29" i="21"/>
  <c r="V29" i="21" s="1"/>
  <c r="U30" i="21"/>
  <c r="V30" i="21" s="1"/>
  <c r="U31" i="21"/>
  <c r="V31" i="21" s="1"/>
  <c r="U32" i="21"/>
  <c r="V32" i="21" s="1"/>
  <c r="U33" i="21"/>
  <c r="U6" i="21"/>
  <c r="V6" i="21" s="1"/>
  <c r="P33" i="21"/>
  <c r="P32" i="21"/>
  <c r="P31" i="21"/>
  <c r="P30" i="21"/>
  <c r="P29" i="21"/>
  <c r="P28" i="21"/>
  <c r="P27" i="21"/>
  <c r="P26" i="21"/>
  <c r="P25" i="21"/>
  <c r="P24" i="21"/>
  <c r="P23" i="21"/>
  <c r="P22" i="21"/>
  <c r="P21" i="21"/>
  <c r="P20" i="21"/>
  <c r="P19" i="21"/>
  <c r="P18" i="21"/>
  <c r="P17" i="21"/>
  <c r="P16" i="21"/>
  <c r="P15" i="21"/>
  <c r="P14" i="21"/>
  <c r="P13" i="21"/>
  <c r="P12" i="21"/>
  <c r="P11" i="21"/>
  <c r="P10" i="21"/>
  <c r="P9" i="21"/>
  <c r="P8" i="21"/>
  <c r="P7" i="21"/>
  <c r="P6" i="21"/>
  <c r="M6" i="21"/>
  <c r="K27" i="21"/>
  <c r="M27" i="21"/>
  <c r="O27" i="21"/>
  <c r="K28" i="21"/>
  <c r="M28" i="21"/>
  <c r="O28" i="21"/>
  <c r="K29" i="21"/>
  <c r="M29" i="21"/>
  <c r="O29" i="21"/>
  <c r="F29" i="21" s="1"/>
  <c r="AC29" i="21" s="1"/>
  <c r="K30" i="21"/>
  <c r="M30" i="21"/>
  <c r="O30" i="21"/>
  <c r="K31" i="21"/>
  <c r="M31" i="21"/>
  <c r="O31" i="21"/>
  <c r="F31" i="21" s="1"/>
  <c r="AC31" i="21" s="1"/>
  <c r="K32" i="21"/>
  <c r="M32" i="21"/>
  <c r="O32" i="21"/>
  <c r="F32" i="21" s="1"/>
  <c r="AC32" i="21" s="1"/>
  <c r="K33" i="21"/>
  <c r="M33" i="21"/>
  <c r="O33" i="21"/>
  <c r="F27" i="21"/>
  <c r="AC27" i="21" s="1"/>
  <c r="F28" i="21"/>
  <c r="AC28" i="21" s="1"/>
  <c r="F30" i="21"/>
  <c r="AC30" i="21" s="1"/>
  <c r="F33" i="21"/>
  <c r="AC33" i="21" s="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W26" i="21"/>
  <c r="AE26" i="21" s="1"/>
  <c r="V26" i="21"/>
  <c r="O26" i="21"/>
  <c r="F26" i="21" s="1"/>
  <c r="AC26" i="21" s="1"/>
  <c r="M26" i="21"/>
  <c r="K26" i="21"/>
  <c r="O25" i="21"/>
  <c r="F25" i="21" s="1"/>
  <c r="AC25" i="21" s="1"/>
  <c r="M25" i="21"/>
  <c r="K25" i="21"/>
  <c r="O24" i="21"/>
  <c r="F24" i="21" s="1"/>
  <c r="AC24" i="21" s="1"/>
  <c r="M24" i="21"/>
  <c r="K24" i="21"/>
  <c r="W23" i="21"/>
  <c r="AE23" i="21" s="1"/>
  <c r="V23" i="21"/>
  <c r="O23" i="21"/>
  <c r="M23" i="21"/>
  <c r="K23" i="21"/>
  <c r="F23" i="21"/>
  <c r="AC23" i="21" s="1"/>
  <c r="O22" i="21"/>
  <c r="F22" i="21" s="1"/>
  <c r="AC22" i="21" s="1"/>
  <c r="M22" i="21"/>
  <c r="K22" i="21"/>
  <c r="O21" i="21"/>
  <c r="F21" i="21" s="1"/>
  <c r="AC21" i="21" s="1"/>
  <c r="M21" i="21"/>
  <c r="K21" i="21"/>
  <c r="O20" i="21"/>
  <c r="F20" i="21" s="1"/>
  <c r="AC20" i="21" s="1"/>
  <c r="M20" i="21"/>
  <c r="K20" i="21"/>
  <c r="O19" i="21"/>
  <c r="F19" i="21" s="1"/>
  <c r="AC19" i="21" s="1"/>
  <c r="M19" i="21"/>
  <c r="K19" i="21"/>
  <c r="AK18" i="21"/>
  <c r="AI18" i="21"/>
  <c r="O18" i="21"/>
  <c r="F18" i="21" s="1"/>
  <c r="AC18" i="21" s="1"/>
  <c r="M18" i="21"/>
  <c r="K18" i="21"/>
  <c r="AI17" i="21"/>
  <c r="O17" i="21"/>
  <c r="F17" i="21" s="1"/>
  <c r="AC17" i="21" s="1"/>
  <c r="M17" i="21"/>
  <c r="K17" i="21"/>
  <c r="AI16" i="21"/>
  <c r="O16" i="21"/>
  <c r="F16" i="21" s="1"/>
  <c r="AC16" i="21" s="1"/>
  <c r="M16" i="21"/>
  <c r="K16" i="21"/>
  <c r="AI15" i="21"/>
  <c r="O15" i="21"/>
  <c r="F15" i="21" s="1"/>
  <c r="AC15" i="21" s="1"/>
  <c r="M15" i="21"/>
  <c r="K15" i="21"/>
  <c r="AI14" i="21"/>
  <c r="O14" i="21"/>
  <c r="F14" i="21" s="1"/>
  <c r="AC14" i="21" s="1"/>
  <c r="M14" i="21"/>
  <c r="K14" i="21"/>
  <c r="AI13" i="21"/>
  <c r="O13" i="21"/>
  <c r="F13" i="21" s="1"/>
  <c r="AC13" i="21" s="1"/>
  <c r="M13" i="21"/>
  <c r="K13" i="21"/>
  <c r="AI12" i="21"/>
  <c r="O12" i="21"/>
  <c r="F12" i="21" s="1"/>
  <c r="AC12" i="21" s="1"/>
  <c r="M12" i="21"/>
  <c r="K12" i="21"/>
  <c r="AI11" i="21"/>
  <c r="O11" i="21"/>
  <c r="F11" i="21" s="1"/>
  <c r="AC11" i="21" s="1"/>
  <c r="M11" i="21"/>
  <c r="K11" i="21"/>
  <c r="AI10" i="21"/>
  <c r="O10" i="21"/>
  <c r="F10" i="21" s="1"/>
  <c r="AC10" i="21" s="1"/>
  <c r="M10" i="21"/>
  <c r="K10" i="21"/>
  <c r="AI9" i="21"/>
  <c r="O9" i="21"/>
  <c r="F9" i="21" s="1"/>
  <c r="AC9" i="21" s="1"/>
  <c r="M9" i="21"/>
  <c r="K9" i="21"/>
  <c r="AI8" i="21"/>
  <c r="O8" i="21"/>
  <c r="F8" i="21" s="1"/>
  <c r="AC8" i="21" s="1"/>
  <c r="M8" i="21"/>
  <c r="K8" i="21"/>
  <c r="AI7" i="21"/>
  <c r="O7" i="21"/>
  <c r="F7" i="21" s="1"/>
  <c r="AC7" i="21" s="1"/>
  <c r="M7" i="21"/>
  <c r="K7" i="21"/>
  <c r="AI6" i="21"/>
  <c r="O6" i="21"/>
  <c r="F6" i="21" s="1"/>
  <c r="AC6" i="21" s="1"/>
  <c r="K6" i="21"/>
  <c r="W31" i="21" l="1"/>
  <c r="AE31" i="21" s="1"/>
  <c r="W27" i="21"/>
  <c r="AE27" i="21" s="1"/>
  <c r="AL9" i="22"/>
  <c r="AL24" i="22"/>
  <c r="AM24" i="22" s="1"/>
  <c r="AN24" i="22" s="1"/>
  <c r="AK28" i="22"/>
  <c r="AL28" i="22" s="1"/>
  <c r="AL20" i="22"/>
  <c r="AM20" i="22" s="1"/>
  <c r="AN20" i="22" s="1"/>
  <c r="AL21" i="22"/>
  <c r="AL26" i="22"/>
  <c r="AM26" i="22" s="1"/>
  <c r="AN26" i="22" s="1"/>
  <c r="AL27" i="22"/>
  <c r="AM27" i="22" s="1"/>
  <c r="AN27" i="22" s="1"/>
  <c r="AL23" i="22"/>
  <c r="AM23" i="22" s="1"/>
  <c r="AN23" i="22" s="1"/>
  <c r="AL22" i="22"/>
  <c r="AM22" i="22" s="1"/>
  <c r="AN22" i="22" s="1"/>
  <c r="AL10" i="22"/>
  <c r="AM10" i="22" s="1"/>
  <c r="AN10" i="22" s="1"/>
  <c r="AL11" i="22"/>
  <c r="AM11" i="22" s="1"/>
  <c r="AN11" i="22" s="1"/>
  <c r="AK32" i="22"/>
  <c r="AL13" i="22"/>
  <c r="AL18" i="22"/>
  <c r="AM18" i="22" s="1"/>
  <c r="AN18" i="22" s="1"/>
  <c r="AL17" i="22"/>
  <c r="AH17" i="21"/>
  <c r="W9" i="21"/>
  <c r="AE9" i="21" s="1"/>
  <c r="V13" i="21"/>
  <c r="W21" i="21"/>
  <c r="AE21" i="21" s="1"/>
  <c r="AH25" i="21"/>
  <c r="V17" i="21"/>
  <c r="V25" i="21"/>
  <c r="AJ13" i="22"/>
  <c r="V20" i="21"/>
  <c r="AH23" i="21"/>
  <c r="W29" i="21"/>
  <c r="AE29" i="21" s="1"/>
  <c r="X26" i="21"/>
  <c r="Y26" i="21" s="1"/>
  <c r="AF26" i="21" s="1"/>
  <c r="X18" i="21"/>
  <c r="Y18" i="21" s="1"/>
  <c r="AF18" i="21" s="1"/>
  <c r="X10" i="21"/>
  <c r="Y10" i="21" s="1"/>
  <c r="AF10" i="21" s="1"/>
  <c r="AG19" i="21"/>
  <c r="AJ19" i="21" s="1"/>
  <c r="AH21" i="21"/>
  <c r="AH24" i="21"/>
  <c r="V11" i="21"/>
  <c r="AG28" i="22"/>
  <c r="AH28" i="22" s="1"/>
  <c r="AC5" i="22"/>
  <c r="AH20" i="21"/>
  <c r="N7" i="21"/>
  <c r="E7" i="21" s="1"/>
  <c r="AD7" i="21" s="1"/>
  <c r="N6" i="21"/>
  <c r="E6" i="21" s="1"/>
  <c r="AD6" i="21" s="1"/>
  <c r="N9" i="21"/>
  <c r="E9" i="21" s="1"/>
  <c r="AD9" i="21" s="1"/>
  <c r="N8" i="21"/>
  <c r="E8" i="21" s="1"/>
  <c r="AD8" i="21" s="1"/>
  <c r="W10" i="21"/>
  <c r="AE10" i="21" s="1"/>
  <c r="W18" i="21"/>
  <c r="AE18" i="21" s="1"/>
  <c r="G3" i="21"/>
  <c r="P3" i="21"/>
  <c r="AH22" i="21"/>
  <c r="N23" i="21"/>
  <c r="E23" i="21" s="1"/>
  <c r="AD23" i="21" s="1"/>
  <c r="N22" i="21"/>
  <c r="E22" i="21" s="1"/>
  <c r="AD22" i="21" s="1"/>
  <c r="N25" i="21"/>
  <c r="E25" i="21" s="1"/>
  <c r="AD25" i="21" s="1"/>
  <c r="N24" i="21"/>
  <c r="E24" i="21" s="1"/>
  <c r="AD24" i="21" s="1"/>
  <c r="W6" i="21"/>
  <c r="AE6" i="21" s="1"/>
  <c r="N15" i="21"/>
  <c r="E15" i="21" s="1"/>
  <c r="AD15" i="21" s="1"/>
  <c r="N14" i="21"/>
  <c r="E14" i="21" s="1"/>
  <c r="AD14" i="21" s="1"/>
  <c r="N17" i="21"/>
  <c r="E17" i="21" s="1"/>
  <c r="AD17" i="21" s="1"/>
  <c r="N16" i="21"/>
  <c r="E16" i="21" s="1"/>
  <c r="AD16" i="21" s="1"/>
  <c r="X33" i="21"/>
  <c r="Y33" i="21" s="1"/>
  <c r="AF33" i="21" s="1"/>
  <c r="X25" i="21"/>
  <c r="Y25" i="21" s="1"/>
  <c r="AF25" i="21" s="1"/>
  <c r="X17" i="21"/>
  <c r="Y17" i="21" s="1"/>
  <c r="AF17" i="21" s="1"/>
  <c r="V8" i="21"/>
  <c r="W24" i="21"/>
  <c r="AE24" i="21" s="1"/>
  <c r="N29" i="21"/>
  <c r="E29" i="21" s="1"/>
  <c r="AD29" i="21" s="1"/>
  <c r="N28" i="21"/>
  <c r="E28" i="21" s="1"/>
  <c r="AD28" i="21" s="1"/>
  <c r="N27" i="21"/>
  <c r="E27" i="21" s="1"/>
  <c r="AD27" i="21" s="1"/>
  <c r="N26" i="21"/>
  <c r="E26" i="21" s="1"/>
  <c r="AD26" i="21" s="1"/>
  <c r="N31" i="21"/>
  <c r="E31" i="21" s="1"/>
  <c r="AD31" i="21" s="1"/>
  <c r="N30" i="21"/>
  <c r="E30" i="21" s="1"/>
  <c r="AD30" i="21" s="1"/>
  <c r="N33" i="21"/>
  <c r="E33" i="21" s="1"/>
  <c r="AD33" i="21" s="1"/>
  <c r="N32" i="21"/>
  <c r="E32" i="21" s="1"/>
  <c r="AD32" i="21" s="1"/>
  <c r="AH5" i="22"/>
  <c r="AJ18" i="22"/>
  <c r="N13" i="21"/>
  <c r="E13" i="21" s="1"/>
  <c r="AD13" i="21" s="1"/>
  <c r="N12" i="21"/>
  <c r="E12" i="21" s="1"/>
  <c r="AD12" i="21" s="1"/>
  <c r="N11" i="21"/>
  <c r="E11" i="21" s="1"/>
  <c r="AD11" i="21" s="1"/>
  <c r="N10" i="21"/>
  <c r="E10" i="21" s="1"/>
  <c r="AD10" i="21" s="1"/>
  <c r="N21" i="21"/>
  <c r="E21" i="21" s="1"/>
  <c r="AD21" i="21" s="1"/>
  <c r="N20" i="21"/>
  <c r="E20" i="21" s="1"/>
  <c r="AD20" i="21" s="1"/>
  <c r="N19" i="21"/>
  <c r="E19" i="21" s="1"/>
  <c r="AD19" i="21" s="1"/>
  <c r="N18" i="21"/>
  <c r="E18" i="21" s="1"/>
  <c r="AD18" i="21" s="1"/>
  <c r="AG23" i="21"/>
  <c r="AJ23" i="21" s="1"/>
  <c r="X27" i="21"/>
  <c r="Y27" i="21" s="1"/>
  <c r="AF27" i="21" s="1"/>
  <c r="X11" i="21"/>
  <c r="Y11" i="21" s="1"/>
  <c r="AF11" i="21" s="1"/>
  <c r="U3" i="21"/>
  <c r="V3" i="21" s="1"/>
  <c r="AJ17" i="22"/>
  <c r="AG5" i="22"/>
  <c r="AJ5" i="22" s="1"/>
  <c r="AJ11" i="22"/>
  <c r="AG24" i="21"/>
  <c r="AJ24" i="21" s="1"/>
  <c r="X19" i="21"/>
  <c r="Y19" i="21" s="1"/>
  <c r="AF19" i="21" s="1"/>
  <c r="AH19" i="21"/>
  <c r="E5" i="22"/>
  <c r="AD5" i="22" s="1"/>
  <c r="AJ10" i="22"/>
  <c r="AJ9" i="22"/>
  <c r="AM21" i="22"/>
  <c r="AN21" i="22" s="1"/>
  <c r="AH14" i="21"/>
  <c r="AG25" i="21"/>
  <c r="AJ25" i="21" s="1"/>
  <c r="AG22" i="21"/>
  <c r="AJ22" i="21" s="1"/>
  <c r="W32" i="21"/>
  <c r="AE32" i="21" s="1"/>
  <c r="V16" i="21"/>
  <c r="X29" i="21"/>
  <c r="Y29" i="21" s="1"/>
  <c r="AF29" i="21" s="1"/>
  <c r="X21" i="21"/>
  <c r="Y21" i="21" s="1"/>
  <c r="AF21" i="21" s="1"/>
  <c r="AG21" i="21"/>
  <c r="AJ21" i="21" s="1"/>
  <c r="AG12" i="21"/>
  <c r="AJ12" i="21" s="1"/>
  <c r="L20" i="21"/>
  <c r="V24" i="21"/>
  <c r="AG20" i="21"/>
  <c r="AJ20" i="21" s="1"/>
  <c r="V12" i="21"/>
  <c r="X22" i="21"/>
  <c r="Y22" i="21" s="1"/>
  <c r="AF22" i="21" s="1"/>
  <c r="X6" i="21"/>
  <c r="Y6" i="21" s="1"/>
  <c r="AF6" i="21" s="1"/>
  <c r="AJ15" i="22"/>
  <c r="AK15" i="22"/>
  <c r="AG32" i="22"/>
  <c r="AK8" i="22"/>
  <c r="AL8" i="22" s="1"/>
  <c r="AJ8" i="22"/>
  <c r="AK12" i="22"/>
  <c r="AL12" i="22" s="1"/>
  <c r="AJ12" i="22"/>
  <c r="X5" i="22"/>
  <c r="Y5" i="22" s="1"/>
  <c r="AK14" i="22"/>
  <c r="AJ14" i="22"/>
  <c r="L5" i="22"/>
  <c r="AM25" i="22"/>
  <c r="AN25" i="22" s="1"/>
  <c r="AK16" i="22"/>
  <c r="AL16" i="22" s="1"/>
  <c r="AJ16" i="22"/>
  <c r="AK19" i="22"/>
  <c r="AL19" i="22" s="1"/>
  <c r="AJ19" i="22"/>
  <c r="W19" i="21"/>
  <c r="AE19" i="21" s="1"/>
  <c r="X12" i="21"/>
  <c r="Y12" i="21" s="1"/>
  <c r="AF12" i="21" s="1"/>
  <c r="X20" i="21"/>
  <c r="Y20" i="21" s="1"/>
  <c r="AF20" i="21" s="1"/>
  <c r="X28" i="21"/>
  <c r="Y28" i="21" s="1"/>
  <c r="AF28" i="21" s="1"/>
  <c r="X13" i="21"/>
  <c r="Y13" i="21" s="1"/>
  <c r="AF13" i="21" s="1"/>
  <c r="W7" i="21"/>
  <c r="AE7" i="21" s="1"/>
  <c r="V15" i="21"/>
  <c r="X15" i="21"/>
  <c r="Y15" i="21" s="1"/>
  <c r="AF15" i="21" s="1"/>
  <c r="X23" i="21"/>
  <c r="Y23" i="21" s="1"/>
  <c r="AF23" i="21" s="1"/>
  <c r="X31" i="21"/>
  <c r="Y31" i="21" s="1"/>
  <c r="AF31" i="21" s="1"/>
  <c r="V7" i="21"/>
  <c r="X14" i="21"/>
  <c r="Y14" i="21" s="1"/>
  <c r="AF14" i="21" s="1"/>
  <c r="X9" i="21"/>
  <c r="Y9" i="21" s="1"/>
  <c r="AF9" i="21" s="1"/>
  <c r="V14" i="21"/>
  <c r="V22" i="21"/>
  <c r="X16" i="21"/>
  <c r="Y16" i="21" s="1"/>
  <c r="AF16" i="21" s="1"/>
  <c r="X24" i="21"/>
  <c r="Y24" i="21" s="1"/>
  <c r="AF24" i="21" s="1"/>
  <c r="X32" i="21"/>
  <c r="Y32" i="21" s="1"/>
  <c r="AF32" i="21" s="1"/>
  <c r="X30" i="21"/>
  <c r="Y30" i="21" s="1"/>
  <c r="AF30" i="21" s="1"/>
  <c r="W14" i="21"/>
  <c r="AE14" i="21" s="1"/>
  <c r="W22" i="21"/>
  <c r="AE22" i="21" s="1"/>
  <c r="X7" i="21"/>
  <c r="Y7" i="21" s="1"/>
  <c r="AF7" i="21" s="1"/>
  <c r="X8" i="21"/>
  <c r="L29" i="21"/>
  <c r="L28" i="21"/>
  <c r="L13" i="21"/>
  <c r="L12" i="21"/>
  <c r="L14" i="21"/>
  <c r="L22" i="21"/>
  <c r="L30" i="21"/>
  <c r="L15" i="21"/>
  <c r="L23" i="21"/>
  <c r="L31" i="21"/>
  <c r="L21" i="21"/>
  <c r="L16" i="21"/>
  <c r="L24" i="21"/>
  <c r="L32" i="21"/>
  <c r="L6" i="21"/>
  <c r="L9" i="21"/>
  <c r="L17" i="21"/>
  <c r="L25" i="21"/>
  <c r="L33" i="21"/>
  <c r="L10" i="21"/>
  <c r="L18" i="21"/>
  <c r="L26" i="21"/>
  <c r="L11" i="21"/>
  <c r="L19" i="21"/>
  <c r="L27" i="21"/>
  <c r="L7" i="21"/>
  <c r="L8" i="21"/>
  <c r="AH8" i="21"/>
  <c r="AG14" i="21"/>
  <c r="AK14" i="21" s="1"/>
  <c r="AH11" i="21"/>
  <c r="AG11" i="21"/>
  <c r="AG15" i="21"/>
  <c r="AH7" i="21"/>
  <c r="AI3" i="21"/>
  <c r="K3" i="21"/>
  <c r="AG6" i="21"/>
  <c r="AG7" i="21"/>
  <c r="AK7" i="21" s="1"/>
  <c r="AH15" i="21"/>
  <c r="M3" i="21"/>
  <c r="O3" i="21" s="1"/>
  <c r="AH12" i="21"/>
  <c r="AG8" i="21"/>
  <c r="AK8" i="21" s="1"/>
  <c r="AG10" i="21"/>
  <c r="AG18" i="21"/>
  <c r="AJ18" i="21" s="1"/>
  <c r="AH10" i="21"/>
  <c r="AG13" i="21"/>
  <c r="AH18" i="21"/>
  <c r="AH13" i="21"/>
  <c r="AG16" i="21"/>
  <c r="AH16" i="21"/>
  <c r="AH6" i="21"/>
  <c r="AG9" i="21"/>
  <c r="AG17" i="21"/>
  <c r="AH9" i="21"/>
  <c r="AL14" i="21" l="1"/>
  <c r="AM9" i="22"/>
  <c r="AN9" i="22" s="1"/>
  <c r="AM28" i="22"/>
  <c r="AN28" i="22" s="1"/>
  <c r="AL22" i="21"/>
  <c r="AM22" i="21" s="1"/>
  <c r="AN22" i="21" s="1"/>
  <c r="AL24" i="21"/>
  <c r="AM24" i="21" s="1"/>
  <c r="AN24" i="21" s="1"/>
  <c r="AL23" i="21"/>
  <c r="AM23" i="21" s="1"/>
  <c r="AN23" i="21" s="1"/>
  <c r="AL19" i="21"/>
  <c r="AM19" i="21" s="1"/>
  <c r="AN19" i="21" s="1"/>
  <c r="AL7" i="21"/>
  <c r="AL25" i="21"/>
  <c r="AM25" i="21" s="1"/>
  <c r="AN25" i="21" s="1"/>
  <c r="AK30" i="21"/>
  <c r="AL30" i="21" s="1"/>
  <c r="AK26" i="21"/>
  <c r="AL26" i="21" s="1"/>
  <c r="AL18" i="21"/>
  <c r="AM18" i="21" s="1"/>
  <c r="AN18" i="21" s="1"/>
  <c r="AL21" i="21"/>
  <c r="AM21" i="21" s="1"/>
  <c r="AN21" i="21" s="1"/>
  <c r="AL20" i="21"/>
  <c r="AM20" i="21" s="1"/>
  <c r="AN20" i="21" s="1"/>
  <c r="AM13" i="22"/>
  <c r="AN13" i="22" s="1"/>
  <c r="AF5" i="22"/>
  <c r="AE5" i="22"/>
  <c r="AL14" i="22"/>
  <c r="AM14" i="22" s="1"/>
  <c r="AN14" i="22" s="1"/>
  <c r="AM17" i="22"/>
  <c r="AN17" i="22" s="1"/>
  <c r="AL32" i="22"/>
  <c r="AM32" i="22" s="1"/>
  <c r="AN32" i="22" s="1"/>
  <c r="AL15" i="22"/>
  <c r="AM15" i="22" s="1"/>
  <c r="AN15" i="22" s="1"/>
  <c r="AK12" i="21"/>
  <c r="AJ28" i="22"/>
  <c r="AM8" i="22"/>
  <c r="AN8" i="22" s="1"/>
  <c r="AM19" i="22"/>
  <c r="AN19" i="22" s="1"/>
  <c r="AM16" i="22"/>
  <c r="AN16" i="22" s="1"/>
  <c r="AG30" i="21"/>
  <c r="X3" i="21"/>
  <c r="Y3" i="21" s="1"/>
  <c r="AF3" i="21" s="1"/>
  <c r="L3" i="21"/>
  <c r="AJ16" i="21"/>
  <c r="AK16" i="21"/>
  <c r="AL16" i="21" s="1"/>
  <c r="AJ17" i="21"/>
  <c r="AK17" i="21"/>
  <c r="AL17" i="21" s="1"/>
  <c r="AJ15" i="21"/>
  <c r="AK15" i="21"/>
  <c r="AL15" i="21" s="1"/>
  <c r="AG26" i="21"/>
  <c r="AM12" i="22"/>
  <c r="AN12" i="22" s="1"/>
  <c r="AK5" i="22"/>
  <c r="AJ32" i="22"/>
  <c r="AH32" i="22"/>
  <c r="Y8" i="21"/>
  <c r="AF8" i="21" s="1"/>
  <c r="AL8" i="21" s="1"/>
  <c r="AH3" i="21"/>
  <c r="AJ8" i="21"/>
  <c r="AJ7" i="21"/>
  <c r="AM7" i="21" s="1"/>
  <c r="AN7" i="21" s="1"/>
  <c r="AJ14" i="21"/>
  <c r="AM14" i="21" s="1"/>
  <c r="AN14" i="21" s="1"/>
  <c r="AK6" i="21"/>
  <c r="AL6" i="21" s="1"/>
  <c r="AJ6" i="21"/>
  <c r="AG3" i="21"/>
  <c r="AJ3" i="21" s="1"/>
  <c r="AJ11" i="21"/>
  <c r="AK11" i="21"/>
  <c r="AL11" i="21" s="1"/>
  <c r="AK9" i="21"/>
  <c r="AL9" i="21" s="1"/>
  <c r="AJ9" i="21"/>
  <c r="AK10" i="21"/>
  <c r="AL10" i="21" s="1"/>
  <c r="AJ10" i="21"/>
  <c r="AK13" i="21"/>
  <c r="AL13" i="21" s="1"/>
  <c r="AJ13" i="21"/>
  <c r="N3" i="21"/>
  <c r="E3" i="21" s="1"/>
  <c r="AD3" i="21" s="1"/>
  <c r="AL12" i="21" l="1"/>
  <c r="AM12" i="21" s="1"/>
  <c r="AN12" i="21" s="1"/>
  <c r="AM26" i="21"/>
  <c r="AN26" i="21" s="1"/>
  <c r="AM17" i="21"/>
  <c r="AN17" i="21" s="1"/>
  <c r="AM16" i="21"/>
  <c r="AN16" i="21" s="1"/>
  <c r="AL5" i="22"/>
  <c r="AM5" i="22" s="1"/>
  <c r="AN5" i="22" s="1"/>
  <c r="AK3" i="21"/>
  <c r="AM15" i="21"/>
  <c r="AN15" i="21" s="1"/>
  <c r="AJ30" i="21"/>
  <c r="AH30" i="21"/>
  <c r="AM30" i="21"/>
  <c r="AN30" i="21" s="1"/>
  <c r="AJ26" i="21"/>
  <c r="AH26" i="21"/>
  <c r="AM8" i="21"/>
  <c r="AN8" i="21" s="1"/>
  <c r="AM11" i="21"/>
  <c r="AN11" i="21" s="1"/>
  <c r="AM10" i="21"/>
  <c r="AN10" i="21" s="1"/>
  <c r="AM6" i="21"/>
  <c r="AN6" i="21" s="1"/>
  <c r="AM13" i="21"/>
  <c r="AN13" i="21" s="1"/>
  <c r="AL3" i="21" l="1"/>
  <c r="AM3" i="21" s="1"/>
  <c r="AN3" i="21" s="1"/>
  <c r="AM9" i="21"/>
  <c r="AN9" i="21" s="1"/>
</calcChain>
</file>

<file path=xl/sharedStrings.xml><?xml version="1.0" encoding="utf-8"?>
<sst xmlns="http://schemas.openxmlformats.org/spreadsheetml/2006/main" count="821" uniqueCount="153">
  <si>
    <t>Verwachte vraag (dynamisch) 2027-2028</t>
  </si>
  <si>
    <t>Verwachte max cap 2027-2028</t>
  </si>
  <si>
    <t>85% verwachte max cap 2027-2028</t>
  </si>
  <si>
    <t>Marge t.o.v. MC</t>
  </si>
  <si>
    <t>Marge t.o.v.85% MC</t>
  </si>
  <si>
    <t>Relatieve marge</t>
  </si>
  <si>
    <t>Type</t>
  </si>
  <si>
    <t>Onderwijszone</t>
  </si>
  <si>
    <t>OZ</t>
  </si>
  <si>
    <t>Cluster</t>
  </si>
  <si>
    <t>Label tekort cluster</t>
  </si>
  <si>
    <t>A</t>
  </si>
  <si>
    <t>B</t>
  </si>
  <si>
    <t>C</t>
  </si>
  <si>
    <t>B-A</t>
  </si>
  <si>
    <t>(C-A)/C</t>
  </si>
  <si>
    <t>BuBaO</t>
  </si>
  <si>
    <t>Totaal aantal leerlingen</t>
  </si>
  <si>
    <t>Totaal aantal leerlingen die wonen en schoollopen</t>
  </si>
  <si>
    <t>Inkomende pendel van leerlingen</t>
  </si>
  <si>
    <t>Uitgaande pendel van leerlingen</t>
  </si>
  <si>
    <t>Netto inkomende pendel</t>
  </si>
  <si>
    <t>Aandeel netto inkomende pendel</t>
  </si>
  <si>
    <t>Score label tekort OZ</t>
  </si>
  <si>
    <t>Score label tekort cluster</t>
  </si>
  <si>
    <t>Score label pendel OZ</t>
  </si>
  <si>
    <t>Score label pendel cluster</t>
  </si>
  <si>
    <t>Projectscore</t>
  </si>
  <si>
    <t>NVT</t>
  </si>
  <si>
    <t>Score</t>
  </si>
  <si>
    <t>Type 2</t>
  </si>
  <si>
    <t>Type 9</t>
  </si>
  <si>
    <t>Type BA</t>
  </si>
  <si>
    <t>Type 3</t>
  </si>
  <si>
    <t>Type 4</t>
  </si>
  <si>
    <t>Type 6</t>
  </si>
  <si>
    <t>Type 7</t>
  </si>
  <si>
    <t>Blinde vlek</t>
  </si>
  <si>
    <t>Label tekort OZ</t>
  </si>
  <si>
    <t>Label pendel OZ</t>
  </si>
  <si>
    <t>Label pendel cluster</t>
  </si>
  <si>
    <t>D</t>
  </si>
  <si>
    <t>E</t>
  </si>
  <si>
    <t>D + E</t>
  </si>
  <si>
    <t>Label</t>
  </si>
  <si>
    <t>Aantal extra plaatsen</t>
  </si>
  <si>
    <t>tekort kleiner dan 25% en overschot  kleiner dan 10 %</t>
  </si>
  <si>
    <t>groter dan 5</t>
  </si>
  <si>
    <t>kleiner dan 5</t>
  </si>
  <si>
    <t>Relatieve marge (C-A)/C</t>
  </si>
  <si>
    <t>groter dan 0</t>
  </si>
  <si>
    <t>Pendelindicatoren</t>
  </si>
  <si>
    <t>netto uitgaande pendel groter dan 20 %</t>
  </si>
  <si>
    <t>netto uitgaande pendel kleiner dan 20%  en netto inkomende pendel kleiner dan 20 %</t>
  </si>
  <si>
    <t>netto inkomende pendel groter dan 20 %</t>
  </si>
  <si>
    <t>Plaatsen die meetellen</t>
  </si>
  <si>
    <t>te verwachten tekort groter dan 25%</t>
  </si>
  <si>
    <t>te verwachten overschot groter dan 10 %</t>
  </si>
  <si>
    <t xml:space="preserve">niet van toepassing </t>
  </si>
  <si>
    <t>Marge t.o.v.85% MC met correctie pendel</t>
  </si>
  <si>
    <t>(C-A)/C cluster</t>
  </si>
  <si>
    <t>A cluster</t>
  </si>
  <si>
    <t>Totaal aantal leerlingen cluster</t>
  </si>
  <si>
    <t>Netto inkomende pendel cluster</t>
  </si>
  <si>
    <t>C-A OZ</t>
  </si>
  <si>
    <t>C-A cluster</t>
  </si>
  <si>
    <t>Aantal leerlingen die wonen in OZ of cluster</t>
  </si>
  <si>
    <t>F</t>
  </si>
  <si>
    <t>E/F</t>
  </si>
  <si>
    <t>Gemiddelde projectscore per bijkomende plaats</t>
  </si>
  <si>
    <t>Label projectscore</t>
  </si>
  <si>
    <t>Label score</t>
  </si>
  <si>
    <t>Gemiddelde score per bijkomende plaats</t>
  </si>
  <si>
    <t>Niveau</t>
  </si>
  <si>
    <t>Aandeel netto inkomende pendel cluster</t>
  </si>
  <si>
    <t xml:space="preserve">Label pendel </t>
  </si>
  <si>
    <t>Aandeel netto inkomende pendel onderwijszone</t>
  </si>
  <si>
    <t>Label tekort onderwijszone</t>
  </si>
  <si>
    <t>Score (gelijk aan of groter dan)</t>
  </si>
  <si>
    <t>Label pendel onderwijszone</t>
  </si>
  <si>
    <t>Correctiefactor score type 9</t>
  </si>
  <si>
    <t>Plaatsen tellen mee voor 60%</t>
  </si>
  <si>
    <t xml:space="preserve">Toelichting bij het toekennen van een projectscore aan de hand van een scorematrix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</si>
  <si>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</si>
  <si>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</si>
  <si>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</si>
  <si>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</si>
  <si>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</si>
  <si>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</si>
  <si>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</si>
  <si>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</si>
  <si>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</si>
  <si>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Opleidingsvorm</t>
  </si>
  <si>
    <t>Aanbod BUSO</t>
  </si>
  <si>
    <t>Aanbod per OV en type</t>
  </si>
  <si>
    <t>Aandeel OV en type</t>
  </si>
  <si>
    <t>Label aandeel</t>
  </si>
  <si>
    <t>OV 1</t>
  </si>
  <si>
    <t>TYPE 2</t>
  </si>
  <si>
    <t>TYPE 3</t>
  </si>
  <si>
    <t>TYPE 4</t>
  </si>
  <si>
    <t>TYPE 6</t>
  </si>
  <si>
    <t>TYPE 7</t>
  </si>
  <si>
    <t>TYPE 9</t>
  </si>
  <si>
    <t>OV 2</t>
  </si>
  <si>
    <t>OV 3</t>
  </si>
  <si>
    <t>TYPE BA</t>
  </si>
  <si>
    <t>OV 4</t>
  </si>
  <si>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</si>
  <si>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Tabel 4: Criteria voor labels gekoppeld aan de gemiddelde score per bijkomende plaats </t>
  </si>
  <si>
    <t>Correctiefactor op niveau cluster</t>
  </si>
  <si>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</si>
  <si>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</si>
  <si>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</si>
  <si>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</si>
  <si>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</si>
  <si>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</si>
  <si>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</si>
  <si>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</si>
  <si>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Selectie van projectvoorstellen per cluster van onderwijszones</t>
  </si>
  <si>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</si>
  <si>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</si>
  <si>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</si>
  <si>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</si>
  <si>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</si>
  <si>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</si>
  <si>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</si>
  <si>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</si>
  <si>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B (update)</t>
  </si>
  <si>
    <t>C (update)</t>
  </si>
  <si>
    <t>Naam school</t>
  </si>
  <si>
    <t>Totaal aantal leerlingen in schooljaar 2022-2023</t>
  </si>
  <si>
    <t>Totaal aantal leerlingen die wonen en schoollopen schooljaar in 2022-2023</t>
  </si>
  <si>
    <t>Inkomende pendel van leerlingen in schooljaar 2022-2023</t>
  </si>
  <si>
    <t>Uitgaande pendel van leerlingen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</si>
  <si>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</si>
  <si>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</si>
  <si>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</si>
  <si>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</si>
  <si>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</si>
  <si>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</si>
  <si>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BuBaO</t>
  </si>
  <si>
    <t>A onderwijszone (update)</t>
  </si>
  <si>
    <r>
      <t xml:space="preserve">Indien binnen eenzelfde cluster van onderwijszones meerdere projectvoorstellen naar voor worden geschoven zal binnen de </t>
    </r>
    <r>
      <rPr>
        <b/>
        <sz val="11"/>
        <color theme="1"/>
        <rFont val="Calibri"/>
        <family val="2"/>
        <scheme val="minor"/>
      </rPr>
      <t xml:space="preserve">centrale taskforce capaciteit </t>
    </r>
    <r>
      <rPr>
        <sz val="11"/>
        <color theme="1"/>
        <rFont val="Calibri"/>
        <family val="2"/>
        <scheme val="minor"/>
      </rPr>
      <t xml:space="preserve">telkens over alle projectvoorstellen heen het totaal aantal bijkomende plaatsen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</si>
  <si>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Brugge</t>
  </si>
  <si>
    <t>Oostende</t>
  </si>
  <si>
    <t>Torhout</t>
  </si>
  <si>
    <t>Veurne</t>
  </si>
  <si>
    <t>B-O-T-V</t>
  </si>
  <si>
    <t>B cluster</t>
  </si>
  <si>
    <t>C cluster</t>
  </si>
  <si>
    <t>B-A cluster</t>
  </si>
  <si>
    <t>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</si>
</sst>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6">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horizontal="left"/>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0" fontId="2" fillId="7" borderId="1" xfId="0" applyFont="1" applyFill="1" applyBorder="1" applyAlignment="1">
      <alignment horizontal="center" vertical="center"/>
    </xf>
    <xf numFmtId="9" fontId="0" fillId="0" borderId="1" xfId="0" applyNumberFormat="1" applyBorder="1" applyAlignment="1">
      <alignment horizontal="center"/>
    </xf>
    <xf numFmtId="0" fontId="1"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8" borderId="1" xfId="0" applyFill="1" applyBorder="1" applyAlignment="1">
      <alignment vertical="center" wrapText="1"/>
    </xf>
    <xf numFmtId="0" fontId="0" fillId="6" borderId="1" xfId="0" applyFill="1" applyBorder="1" applyAlignment="1">
      <alignment vertical="center" wrapText="1"/>
    </xf>
    <xf numFmtId="0" fontId="0" fillId="7" borderId="1" xfId="0" applyFill="1" applyBorder="1" applyAlignment="1">
      <alignment vertical="center" wrapText="1"/>
    </xf>
    <xf numFmtId="0" fontId="0" fillId="9" borderId="1" xfId="0" applyFill="1" applyBorder="1" applyAlignment="1">
      <alignment vertical="center" wrapText="1"/>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0" borderId="1" xfId="0" applyFill="1" applyBorder="1" applyAlignment="1">
      <alignment vertical="center" wrapText="1"/>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4" borderId="2" xfId="0" applyFill="1" applyBorder="1"/>
    <xf numFmtId="0" fontId="0" fillId="0" borderId="1" xfId="0" applyBorder="1" applyAlignment="1">
      <alignment horizontal="center" vertical="center"/>
    </xf>
    <xf numFmtId="0" fontId="0" fillId="7" borderId="1" xfId="0" applyFill="1" applyBorder="1" applyAlignment="1">
      <alignment horizontal="left" vertical="center" wrapText="1"/>
    </xf>
    <xf numFmtId="0" fontId="1" fillId="7" borderId="1" xfId="0" applyFont="1" applyFill="1" applyBorder="1" applyAlignment="1">
      <alignment horizontal="left" vertical="center" wrapText="1"/>
    </xf>
    <xf numFmtId="0" fontId="0" fillId="0" borderId="1" xfId="0" applyBorder="1"/>
    <xf numFmtId="0" fontId="0" fillId="8" borderId="1" xfId="0" applyFill="1" applyBorder="1" applyAlignment="1">
      <alignment horizontal="left" vertical="center" wrapText="1"/>
    </xf>
    <xf numFmtId="0" fontId="0" fillId="6" borderId="1" xfId="0" applyFill="1" applyBorder="1" applyAlignment="1">
      <alignment horizontal="left" vertical="center" wrapText="1"/>
    </xf>
    <xf numFmtId="0" fontId="0" fillId="9" borderId="1" xfId="0" applyFill="1" applyBorder="1" applyAlignment="1">
      <alignment horizontal="left" vertical="center" wrapText="1"/>
    </xf>
    <xf numFmtId="9" fontId="3"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9" fontId="3" fillId="0" borderId="4" xfId="0" applyNumberFormat="1" applyFont="1" applyBorder="1" applyAlignment="1">
      <alignment horizontal="center" vertical="center"/>
    </xf>
    <xf numFmtId="0" fontId="0" fillId="7" borderId="4" xfId="0" applyFill="1" applyBorder="1" applyAlignment="1">
      <alignment horizontal="center" vertical="center" wrapText="1"/>
    </xf>
    <xf numFmtId="164" fontId="1" fillId="4" borderId="1" xfId="0" applyNumberFormat="1" applyFont="1" applyFill="1" applyBorder="1" applyAlignment="1">
      <alignment horizontal="center"/>
    </xf>
    <xf numFmtId="0" fontId="0" fillId="0" borderId="6" xfId="0" applyBorder="1" applyAlignment="1">
      <alignment horizontal="left"/>
    </xf>
    <xf numFmtId="0" fontId="2" fillId="0" borderId="6" xfId="0" applyFont="1" applyBorder="1" applyAlignment="1">
      <alignment horizontal="center" vertical="center"/>
    </xf>
    <xf numFmtId="3" fontId="0" fillId="0" borderId="6" xfId="0" applyNumberFormat="1" applyBorder="1" applyAlignment="1">
      <alignment horizontal="center"/>
    </xf>
    <xf numFmtId="9" fontId="0" fillId="0" borderId="6" xfId="0" applyNumberFormat="1" applyBorder="1" applyAlignment="1">
      <alignment horizontal="center"/>
    </xf>
    <xf numFmtId="9" fontId="0" fillId="0" borderId="4" xfId="0" applyNumberFormat="1" applyBorder="1" applyAlignment="1">
      <alignment horizontal="center"/>
    </xf>
    <xf numFmtId="0" fontId="0" fillId="0" borderId="1" xfId="0" applyBorder="1" applyAlignment="1">
      <alignment horizontal="left"/>
    </xf>
    <xf numFmtId="9" fontId="0" fillId="0" borderId="6" xfId="0" applyNumberFormat="1" applyBorder="1" applyAlignment="1">
      <alignment horizontal="center" vertical="center"/>
    </xf>
    <xf numFmtId="0" fontId="1" fillId="2" borderId="1" xfId="0" applyFont="1" applyFill="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1" fontId="0" fillId="6" borderId="1" xfId="0" applyNumberFormat="1" applyFill="1" applyBorder="1" applyAlignment="1">
      <alignment horizontal="center"/>
    </xf>
    <xf numFmtId="0" fontId="0" fillId="0" borderId="6" xfId="0" applyBorder="1" applyAlignment="1">
      <alignment horizontal="center"/>
    </xf>
    <xf numFmtId="0" fontId="2" fillId="7" borderId="6" xfId="0" applyFont="1" applyFill="1" applyBorder="1" applyAlignment="1">
      <alignment horizontal="center" vertical="center"/>
    </xf>
    <xf numFmtId="0" fontId="0" fillId="4" borderId="3" xfId="0" applyFill="1" applyBorder="1"/>
    <xf numFmtId="0" fontId="0" fillId="4" borderId="2" xfId="0" applyFill="1" applyBorder="1" applyAlignment="1">
      <alignment horizontal="center"/>
    </xf>
    <xf numFmtId="0" fontId="0" fillId="4" borderId="4" xfId="0" applyFill="1" applyBorder="1"/>
    <xf numFmtId="0" fontId="0" fillId="0" borderId="4" xfId="0" applyBorder="1"/>
    <xf numFmtId="1" fontId="1" fillId="4" borderId="1" xfId="0" applyNumberFormat="1" applyFont="1" applyFill="1" applyBorder="1" applyAlignment="1">
      <alignment horizontal="center"/>
    </xf>
    <xf numFmtId="0" fontId="0" fillId="0" borderId="6" xfId="0" applyBorder="1" applyAlignment="1">
      <alignment vertical="center" wrapText="1"/>
    </xf>
    <xf numFmtId="164" fontId="1" fillId="4" borderId="6" xfId="0" applyNumberFormat="1" applyFont="1" applyFill="1" applyBorder="1" applyAlignment="1">
      <alignment horizontal="center"/>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2"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3" fontId="1" fillId="4" borderId="6" xfId="0" applyNumberFormat="1" applyFont="1" applyFill="1" applyBorder="1" applyAlignment="1">
      <alignment horizontal="center"/>
    </xf>
    <xf numFmtId="0" fontId="1" fillId="9" borderId="1" xfId="0" applyFont="1" applyFill="1" applyBorder="1" applyAlignment="1">
      <alignment horizontal="left" vertical="center" wrapText="1"/>
    </xf>
    <xf numFmtId="0" fontId="6" fillId="0" borderId="0" xfId="0" applyFont="1"/>
    <xf numFmtId="0" fontId="7" fillId="0" borderId="0" xfId="0" applyFont="1"/>
    <xf numFmtId="0" fontId="8" fillId="10" borderId="1" xfId="0" applyFont="1" applyFill="1" applyBorder="1" applyAlignment="1">
      <alignment vertical="center" wrapText="1"/>
    </xf>
    <xf numFmtId="0" fontId="0" fillId="0" borderId="1" xfId="0" applyBorder="1" applyAlignment="1">
      <alignment horizontal="center"/>
    </xf>
    <xf numFmtId="0" fontId="0" fillId="7" borderId="1" xfId="0" applyFill="1" applyBorder="1" applyAlignment="1">
      <alignment vertical="center"/>
    </xf>
    <xf numFmtId="0" fontId="0" fillId="7" borderId="2" xfId="0" applyFill="1" applyBorder="1"/>
    <xf numFmtId="0" fontId="0" fillId="7" borderId="4" xfId="0" applyFill="1" applyBorder="1"/>
    <xf numFmtId="1" fontId="1" fillId="7"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vertical="center" wrapText="1"/>
      <protection locked="0"/>
    </xf>
    <xf numFmtId="0" fontId="1" fillId="4"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6" xfId="0" applyBorder="1" applyAlignment="1" applyProtection="1">
      <alignment horizontal="left"/>
      <protection locked="0"/>
    </xf>
    <xf numFmtId="3" fontId="0" fillId="0" borderId="6" xfId="0" applyNumberFormat="1" applyBorder="1" applyAlignment="1" applyProtection="1">
      <alignment horizontal="center"/>
      <protection locked="0"/>
    </xf>
    <xf numFmtId="9" fontId="0" fillId="0" borderId="6"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4" borderId="2" xfId="0" applyFill="1" applyBorder="1" applyProtection="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6" borderId="1" xfId="0"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0" fontId="0" fillId="5" borderId="1" xfId="0" applyFill="1" applyBorder="1" applyAlignment="1" applyProtection="1">
      <alignment horizontal="center"/>
      <protection locked="0"/>
    </xf>
    <xf numFmtId="0" fontId="0" fillId="7" borderId="1" xfId="0" applyFill="1" applyBorder="1" applyAlignment="1" applyProtection="1">
      <alignment horizontal="left" vertical="center" wrapText="1"/>
      <protection locked="0"/>
    </xf>
    <xf numFmtId="0" fontId="0" fillId="9" borderId="1" xfId="0" applyFill="1" applyBorder="1" applyAlignment="1" applyProtection="1">
      <alignment horizontal="left" vertical="center" wrapText="1"/>
      <protection locked="0"/>
    </xf>
    <xf numFmtId="0" fontId="0" fillId="8" borderId="1" xfId="0" applyFill="1" applyBorder="1" applyAlignment="1" applyProtection="1">
      <alignment horizontal="left" vertical="center" wrapText="1"/>
      <protection locked="0"/>
    </xf>
    <xf numFmtId="0" fontId="5" fillId="0" borderId="1" xfId="0" applyFont="1" applyBorder="1" applyAlignment="1" applyProtection="1">
      <alignment horizontal="left" vertical="center"/>
    </xf>
    <xf numFmtId="0" fontId="0" fillId="0" borderId="0" xfId="0" applyAlignment="1" applyProtection="1">
      <alignment horizontal="center"/>
    </xf>
    <xf numFmtId="0" fontId="0" fillId="0" borderId="0" xfId="0" applyProtection="1"/>
    <xf numFmtId="0" fontId="0" fillId="0" borderId="0" xfId="0" applyAlignment="1" applyProtection="1">
      <alignment horizontal="left"/>
    </xf>
    <xf numFmtId="0" fontId="5" fillId="0" borderId="0" xfId="0" applyFont="1" applyBorder="1" applyAlignment="1" applyProtection="1">
      <alignment horizontal="lef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6" xfId="0" applyBorder="1" applyAlignment="1" applyProtection="1">
      <alignment vertical="center" wrapText="1"/>
    </xf>
    <xf numFmtId="0" fontId="0" fillId="0" borderId="6" xfId="0" applyBorder="1" applyAlignment="1" applyProtection="1">
      <alignment horizontal="left"/>
    </xf>
    <xf numFmtId="0" fontId="2" fillId="0" borderId="6" xfId="0" applyFont="1" applyBorder="1" applyAlignment="1" applyProtection="1">
      <alignment horizontal="center" vertical="center"/>
    </xf>
    <xf numFmtId="0" fontId="2" fillId="0" borderId="6" xfId="0" applyFont="1" applyFill="1" applyBorder="1" applyAlignment="1" applyProtection="1">
      <alignment horizontal="center" vertical="center"/>
    </xf>
    <xf numFmtId="3" fontId="0" fillId="0" borderId="6" xfId="0" applyNumberFormat="1" applyBorder="1" applyAlignment="1" applyProtection="1">
      <alignment horizontal="center"/>
    </xf>
    <xf numFmtId="9" fontId="0" fillId="0" borderId="6" xfId="0" applyNumberFormat="1" applyBorder="1" applyAlignment="1" applyProtection="1">
      <alignment horizontal="center"/>
    </xf>
    <xf numFmtId="0" fontId="0" fillId="4" borderId="3" xfId="0" applyFill="1" applyBorder="1" applyProtection="1"/>
    <xf numFmtId="0" fontId="0" fillId="4" borderId="2" xfId="0" applyFill="1" applyBorder="1" applyAlignment="1" applyProtection="1">
      <alignment horizontal="center"/>
    </xf>
    <xf numFmtId="0" fontId="0" fillId="4" borderId="2" xfId="0" applyFill="1" applyBorder="1" applyProtection="1"/>
    <xf numFmtId="0" fontId="1" fillId="4" borderId="5" xfId="0" applyFont="1" applyFill="1" applyBorder="1" applyAlignment="1" applyProtection="1">
      <alignment vertical="center" wrapText="1"/>
    </xf>
    <xf numFmtId="0" fontId="1" fillId="4" borderId="5" xfId="0" applyFont="1" applyFill="1" applyBorder="1" applyAlignment="1" applyProtection="1">
      <alignment horizontal="left" vertical="center" wrapText="1"/>
    </xf>
    <xf numFmtId="0" fontId="1" fillId="4" borderId="5"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6" borderId="1" xfId="0" applyFill="1" applyBorder="1" applyAlignment="1" applyProtection="1">
      <alignment vertical="center" wrapText="1"/>
    </xf>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3" fontId="0" fillId="0" borderId="1" xfId="0" applyNumberFormat="1" applyBorder="1" applyAlignment="1" applyProtection="1">
      <alignment horizontal="center"/>
    </xf>
    <xf numFmtId="9" fontId="0" fillId="0" borderId="6"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7" borderId="1" xfId="0" applyFill="1" applyBorder="1" applyAlignment="1" applyProtection="1">
      <alignment vertical="center" wrapText="1"/>
    </xf>
    <xf numFmtId="0" fontId="0" fillId="9" borderId="1" xfId="0" applyFill="1" applyBorder="1" applyAlignment="1" applyProtection="1">
      <alignment vertical="center" wrapText="1"/>
    </xf>
    <xf numFmtId="0" fontId="0" fillId="8" borderId="1" xfId="0" applyFill="1" applyBorder="1" applyAlignment="1" applyProtection="1">
      <alignment vertical="center" wrapText="1"/>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7"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7" borderId="1" xfId="0" applyFont="1" applyFill="1" applyBorder="1" applyAlignment="1" applyProtection="1">
      <alignment horizontal="left" vertical="center" wrapText="1"/>
    </xf>
    <xf numFmtId="3" fontId="1" fillId="0" borderId="6" xfId="0" applyNumberFormat="1" applyFont="1" applyFill="1" applyBorder="1" applyAlignment="1" applyProtection="1">
      <alignment horizontal="center"/>
    </xf>
    <xf numFmtId="164" fontId="1" fillId="0" borderId="6" xfId="0" applyNumberFormat="1" applyFont="1" applyFill="1" applyBorder="1" applyAlignment="1" applyProtection="1">
      <alignment horizontal="center"/>
    </xf>
    <xf numFmtId="1" fontId="0" fillId="0" borderId="1" xfId="0" applyNumberFormat="1" applyBorder="1" applyAlignment="1" applyProtection="1">
      <alignment horizontal="center" vertical="center"/>
    </xf>
    <xf numFmtId="0" fontId="0" fillId="4" borderId="4" xfId="0" applyFill="1" applyBorder="1" applyProtection="1"/>
    <xf numFmtId="1" fontId="0" fillId="0" borderId="1" xfId="0" applyNumberFormat="1" applyBorder="1" applyAlignment="1" applyProtection="1">
      <alignment horizontal="center"/>
    </xf>
    <xf numFmtId="1" fontId="1" fillId="0" borderId="1" xfId="0" applyNumberFormat="1" applyFont="1" applyFill="1" applyBorder="1" applyAlignment="1" applyProtection="1">
      <alignment horizontal="center"/>
    </xf>
    <xf numFmtId="164" fontId="1" fillId="0" borderId="1" xfId="0" applyNumberFormat="1" applyFont="1" applyFill="1" applyBorder="1" applyAlignment="1" applyProtection="1">
      <alignment horizontal="center"/>
    </xf>
    <xf numFmtId="0" fontId="0" fillId="7" borderId="1" xfId="0" applyFill="1" applyBorder="1" applyAlignment="1" applyProtection="1">
      <alignment vertical="center"/>
    </xf>
    <xf numFmtId="0" fontId="0" fillId="7" borderId="2" xfId="0" applyFill="1" applyBorder="1" applyProtection="1"/>
    <xf numFmtId="0" fontId="0" fillId="7" borderId="4" xfId="0" applyFill="1" applyBorder="1" applyProtection="1"/>
    <xf numFmtId="0" fontId="1" fillId="9" borderId="1" xfId="0" applyFont="1" applyFill="1" applyBorder="1" applyAlignment="1" applyProtection="1">
      <alignment horizontal="left" vertical="center" wrapText="1"/>
    </xf>
    <xf numFmtId="1" fontId="1" fillId="7" borderId="1" xfId="0" applyNumberFormat="1" applyFont="1" applyFill="1" applyBorder="1" applyAlignment="1" applyProtection="1">
      <alignment horizontal="center"/>
    </xf>
    <xf numFmtId="1" fontId="0" fillId="7" borderId="1" xfId="0" applyNumberFormat="1" applyFill="1" applyBorder="1" applyAlignment="1" applyProtection="1">
      <alignment horizontal="center"/>
    </xf>
    <xf numFmtId="1" fontId="0" fillId="6" borderId="1" xfId="0" applyNumberFormat="1" applyFill="1" applyBorder="1" applyAlignment="1" applyProtection="1">
      <alignment horizontal="center"/>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1" xfId="0" applyFont="1" applyFill="1" applyBorder="1" applyAlignment="1">
      <alignment horizontal="center" vertical="center" wrapText="1"/>
    </xf>
    <xf numFmtId="165" fontId="0" fillId="0" borderId="1" xfId="0" applyNumberFormat="1" applyBorder="1" applyAlignment="1">
      <alignment horizontal="center"/>
    </xf>
    <xf numFmtId="0" fontId="1" fillId="11" borderId="5" xfId="0" applyFont="1" applyFill="1" applyBorder="1" applyAlignment="1">
      <alignment horizontal="center" vertical="center" wrapText="1"/>
    </xf>
    <xf numFmtId="0" fontId="1" fillId="11" borderId="5" xfId="0" applyFont="1" applyFill="1" applyBorder="1" applyAlignment="1" applyProtection="1">
      <alignment horizontal="center" vertical="center" wrapText="1"/>
    </xf>
    <xf numFmtId="0" fontId="0" fillId="12" borderId="1" xfId="0" applyFill="1" applyBorder="1" applyAlignment="1">
      <alignment horizontal="left"/>
    </xf>
    <xf numFmtId="3" fontId="0" fillId="12" borderId="1" xfId="0" applyNumberFormat="1" applyFill="1" applyBorder="1" applyAlignment="1">
      <alignment horizontal="center"/>
    </xf>
    <xf numFmtId="0" fontId="0" fillId="12" borderId="5" xfId="0" applyFill="1" applyBorder="1" applyAlignment="1" applyProtection="1">
      <alignment horizontal="center" vertical="center" wrapText="1"/>
    </xf>
    <xf numFmtId="0" fontId="0" fillId="12" borderId="5"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xf>
    <xf numFmtId="0" fontId="2" fillId="0" borderId="1" xfId="0" applyFont="1"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vertical="center"/>
    </xf>
    <xf numFmtId="0" fontId="0" fillId="0" borderId="1" xfId="0" applyFill="1" applyBorder="1" applyAlignment="1" applyProtection="1">
      <alignment horizontal="left"/>
    </xf>
    <xf numFmtId="0" fontId="0" fillId="0" borderId="1" xfId="0" applyFill="1" applyBorder="1" applyAlignment="1" applyProtection="1">
      <alignment horizontal="center"/>
    </xf>
    <xf numFmtId="3" fontId="0" fillId="0" borderId="1" xfId="0" applyNumberFormat="1" applyFill="1" applyBorder="1" applyAlignment="1" applyProtection="1">
      <alignment horizontal="center"/>
    </xf>
    <xf numFmtId="0" fontId="0" fillId="0" borderId="1" xfId="0" applyBorder="1" applyAlignment="1">
      <alignment vertical="center" wrapText="1"/>
    </xf>
    <xf numFmtId="0" fontId="0" fillId="0" borderId="6" xfId="0" applyBorder="1" applyAlignment="1" applyProtection="1">
      <alignment horizontal="center"/>
    </xf>
    <xf numFmtId="0" fontId="7"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3" fontId="0" fillId="9" borderId="6" xfId="0" applyNumberFormat="1" applyFill="1" applyBorder="1" applyAlignment="1" applyProtection="1">
      <alignment horizontal="center" vertical="center" wrapText="1"/>
      <protection locked="0"/>
    </xf>
    <xf numFmtId="3" fontId="0" fillId="9" borderId="7" xfId="0" applyNumberFormat="1" applyFill="1" applyBorder="1" applyAlignment="1" applyProtection="1">
      <alignment horizontal="center" vertical="center" wrapText="1"/>
      <protection locked="0"/>
    </xf>
    <xf numFmtId="3" fontId="0" fillId="9" borderId="5" xfId="0" applyNumberFormat="1" applyFill="1" applyBorder="1" applyAlignment="1" applyProtection="1">
      <alignment horizontal="center" vertical="center" wrapText="1"/>
      <protection locked="0"/>
    </xf>
    <xf numFmtId="0" fontId="1" fillId="5" borderId="1" xfId="0" applyFont="1" applyFill="1" applyBorder="1" applyAlignment="1" applyProtection="1">
      <alignment horizontal="left" vertical="center"/>
      <protection locked="0"/>
    </xf>
    <xf numFmtId="0" fontId="0" fillId="0" borderId="3"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2" borderId="1"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3" borderId="1" xfId="0"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3" fontId="0" fillId="8" borderId="1" xfId="0" applyNumberFormat="1" applyFill="1" applyBorder="1" applyAlignment="1" applyProtection="1">
      <alignment horizontal="center" vertical="center" wrapText="1"/>
      <protection locked="0"/>
    </xf>
    <xf numFmtId="9" fontId="0" fillId="8" borderId="1" xfId="0" applyNumberFormat="1" applyFill="1" applyBorder="1" applyAlignment="1" applyProtection="1">
      <alignment horizontal="center" vertical="center" wrapText="1"/>
      <protection locked="0"/>
    </xf>
    <xf numFmtId="3" fontId="0" fillId="8" borderId="1" xfId="0" applyNumberFormat="1" applyFill="1" applyBorder="1" applyAlignment="1">
      <alignment horizontal="center" vertical="center" wrapText="1"/>
    </xf>
    <xf numFmtId="3" fontId="1" fillId="9" borderId="6" xfId="0" applyNumberFormat="1" applyFont="1" applyFill="1" applyBorder="1" applyAlignment="1" applyProtection="1">
      <alignment horizontal="center" vertical="center" wrapText="1"/>
    </xf>
    <xf numFmtId="3" fontId="1" fillId="9" borderId="7" xfId="0" applyNumberFormat="1" applyFont="1" applyFill="1" applyBorder="1" applyAlignment="1" applyProtection="1">
      <alignment horizontal="center" vertical="center" wrapText="1"/>
    </xf>
    <xf numFmtId="3" fontId="1" fillId="9" borderId="5"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xf>
    <xf numFmtId="9" fontId="0" fillId="9" borderId="6" xfId="0" applyNumberFormat="1" applyFill="1" applyBorder="1" applyAlignment="1" applyProtection="1">
      <alignment horizontal="center" vertical="center" wrapText="1"/>
      <protection locked="0"/>
    </xf>
    <xf numFmtId="9" fontId="0" fillId="9" borderId="7" xfId="0" applyNumberFormat="1" applyFill="1" applyBorder="1" applyAlignment="1" applyProtection="1">
      <alignment horizontal="center" vertical="center" wrapText="1"/>
      <protection locked="0"/>
    </xf>
    <xf numFmtId="9" fontId="0" fillId="9" borderId="5" xfId="0" applyNumberFormat="1" applyFill="1" applyBorder="1" applyAlignment="1" applyProtection="1">
      <alignment horizontal="center" vertical="center" wrapText="1"/>
      <protection locked="0"/>
    </xf>
    <xf numFmtId="3" fontId="0" fillId="9" borderId="1" xfId="0" applyNumberForma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1" xfId="0"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3" fontId="0" fillId="9" borderId="6" xfId="0" applyNumberFormat="1" applyFill="1" applyBorder="1" applyAlignment="1">
      <alignment horizontal="center" vertical="center" wrapText="1"/>
    </xf>
    <xf numFmtId="3" fontId="0" fillId="9" borderId="7" xfId="0" applyNumberFormat="1" applyFill="1" applyBorder="1" applyAlignment="1">
      <alignment horizontal="center" vertical="center" wrapText="1"/>
    </xf>
    <xf numFmtId="3" fontId="0" fillId="9" borderId="5" xfId="0" applyNumberFormat="1" applyFill="1" applyBorder="1" applyAlignment="1">
      <alignment horizontal="center" vertical="center" wrapText="1"/>
    </xf>
    <xf numFmtId="9" fontId="0" fillId="9" borderId="6" xfId="0" applyNumberFormat="1" applyFill="1" applyBorder="1" applyAlignment="1">
      <alignment horizontal="center" vertical="center" wrapText="1"/>
    </xf>
    <xf numFmtId="9" fontId="0" fillId="9" borderId="7" xfId="0" applyNumberFormat="1" applyFill="1" applyBorder="1" applyAlignment="1">
      <alignment horizontal="center" vertical="center" wrapText="1"/>
    </xf>
    <xf numFmtId="9" fontId="0" fillId="9" borderId="5" xfId="0" applyNumberFormat="1" applyFill="1" applyBorder="1" applyAlignment="1">
      <alignment horizontal="center" vertical="center" wrapText="1"/>
    </xf>
    <xf numFmtId="3" fontId="1" fillId="9" borderId="6" xfId="0" applyNumberFormat="1" applyFont="1" applyFill="1" applyBorder="1" applyAlignment="1">
      <alignment horizontal="center" vertical="center" wrapText="1"/>
    </xf>
    <xf numFmtId="3" fontId="1" fillId="9" borderId="7" xfId="0" applyNumberFormat="1" applyFont="1" applyFill="1" applyBorder="1" applyAlignment="1">
      <alignment horizontal="center" vertical="center" wrapText="1"/>
    </xf>
    <xf numFmtId="3" fontId="1" fillId="9" borderId="5" xfId="0" applyNumberFormat="1" applyFont="1" applyFill="1" applyBorder="1" applyAlignment="1">
      <alignment horizontal="center" vertical="center" wrapText="1"/>
    </xf>
    <xf numFmtId="9" fontId="0" fillId="8" borderId="1" xfId="0" applyNumberFormat="1" applyFill="1" applyBorder="1" applyAlignment="1">
      <alignment horizontal="center" vertical="center" wrapText="1"/>
    </xf>
    <xf numFmtId="3" fontId="1" fillId="8" borderId="6" xfId="0" applyNumberFormat="1" applyFont="1" applyFill="1" applyBorder="1" applyAlignment="1">
      <alignment horizontal="center" vertical="center" wrapText="1"/>
    </xf>
    <xf numFmtId="3" fontId="1" fillId="8" borderId="7" xfId="0" applyNumberFormat="1" applyFont="1" applyFill="1" applyBorder="1" applyAlignment="1">
      <alignment horizontal="center" vertical="center" wrapText="1"/>
    </xf>
    <xf numFmtId="3" fontId="1" fillId="8" borderId="5" xfId="0" applyNumberFormat="1"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49A2-3A62-4D33-B0E7-49F91CE19901}">
  <sheetPr>
    <pageSetUpPr fitToPage="1"/>
  </sheetPr>
  <dimension ref="A1:H80"/>
  <sheetViews>
    <sheetView zoomScale="102" zoomScaleNormal="102" workbookViewId="0">
      <selection activeCell="A2" sqref="A2"/>
    </sheetView>
  </sheetViews>
  <sheetFormatPr defaultRowHeight="14.4" x14ac:dyDescent="0.3"/>
  <cols>
    <col min="1" max="1" width="21.6640625" customWidth="1"/>
    <col min="2" max="2" width="19.44140625" customWidth="1"/>
    <col min="3" max="3" width="22.21875" customWidth="1"/>
    <col min="4" max="4" width="17.21875" customWidth="1"/>
    <col min="5" max="5" width="15.33203125" customWidth="1"/>
    <col min="6" max="6" width="11.5546875" customWidth="1"/>
    <col min="7" max="8" width="12.21875" customWidth="1"/>
  </cols>
  <sheetData>
    <row r="1" spans="1:8" ht="21" x14ac:dyDescent="0.4">
      <c r="A1" s="66" t="s">
        <v>82</v>
      </c>
    </row>
    <row r="3" spans="1:8" ht="74.400000000000006" customHeight="1" x14ac:dyDescent="0.3">
      <c r="A3" s="185" t="s">
        <v>83</v>
      </c>
      <c r="B3" s="185"/>
      <c r="C3" s="185"/>
      <c r="D3" s="185"/>
      <c r="E3" s="185"/>
      <c r="F3" s="185"/>
      <c r="G3" s="185"/>
      <c r="H3" s="185"/>
    </row>
    <row r="5" spans="1:8" ht="46.2" customHeight="1" x14ac:dyDescent="0.3">
      <c r="A5" s="196" t="s">
        <v>121</v>
      </c>
      <c r="B5" s="197"/>
      <c r="C5" s="197"/>
      <c r="D5" s="197"/>
      <c r="E5" s="197"/>
      <c r="F5" s="197"/>
      <c r="G5" s="197"/>
      <c r="H5" s="198"/>
    </row>
    <row r="6" spans="1:8" ht="46.2" customHeight="1" x14ac:dyDescent="0.3">
      <c r="A6" s="196" t="s">
        <v>120</v>
      </c>
      <c r="B6" s="197"/>
      <c r="C6" s="197"/>
      <c r="D6" s="197"/>
      <c r="E6" s="197"/>
      <c r="F6" s="197"/>
      <c r="G6" s="197"/>
      <c r="H6" s="198"/>
    </row>
    <row r="8" spans="1:8" ht="91.2" customHeight="1" x14ac:dyDescent="0.3">
      <c r="A8" s="193" t="s">
        <v>122</v>
      </c>
      <c r="B8" s="194"/>
      <c r="C8" s="194"/>
      <c r="D8" s="194"/>
      <c r="E8" s="194"/>
      <c r="F8" s="194"/>
      <c r="G8" s="194"/>
      <c r="H8" s="195"/>
    </row>
    <row r="10" spans="1:8" x14ac:dyDescent="0.3">
      <c r="A10" s="67" t="s">
        <v>84</v>
      </c>
    </row>
    <row r="12" spans="1:8" ht="50.4" customHeight="1" x14ac:dyDescent="0.3">
      <c r="A12" s="185" t="s">
        <v>111</v>
      </c>
      <c r="B12" s="185"/>
      <c r="C12" s="185"/>
      <c r="D12" s="185"/>
      <c r="E12" s="185"/>
      <c r="F12" s="185"/>
      <c r="G12" s="185"/>
      <c r="H12" s="185"/>
    </row>
    <row r="14" spans="1:8" ht="34.200000000000003" customHeight="1" x14ac:dyDescent="0.3">
      <c r="A14" s="185" t="s">
        <v>116</v>
      </c>
      <c r="B14" s="185"/>
      <c r="C14" s="185"/>
      <c r="D14" s="185"/>
      <c r="E14" s="185"/>
      <c r="F14" s="185"/>
      <c r="G14" s="185"/>
      <c r="H14" s="185"/>
    </row>
    <row r="16" spans="1:8" ht="28.8" x14ac:dyDescent="0.3">
      <c r="A16" s="164" t="s">
        <v>85</v>
      </c>
      <c r="B16" s="164" t="s">
        <v>86</v>
      </c>
      <c r="C16" s="188" t="s">
        <v>87</v>
      </c>
      <c r="D16" s="188"/>
      <c r="E16" s="188"/>
      <c r="F16" s="164" t="s">
        <v>88</v>
      </c>
    </row>
    <row r="17" spans="1:8" x14ac:dyDescent="0.3">
      <c r="A17" s="165" t="s">
        <v>37</v>
      </c>
      <c r="B17" s="165" t="s">
        <v>48</v>
      </c>
      <c r="C17" s="189"/>
      <c r="D17" s="189"/>
      <c r="E17" s="189"/>
      <c r="F17" s="163">
        <v>2</v>
      </c>
    </row>
    <row r="18" spans="1:8" x14ac:dyDescent="0.3">
      <c r="A18" s="165" t="s">
        <v>11</v>
      </c>
      <c r="B18" s="165" t="s">
        <v>47</v>
      </c>
      <c r="C18" s="189" t="s">
        <v>56</v>
      </c>
      <c r="D18" s="189"/>
      <c r="E18" s="189"/>
      <c r="F18" s="163">
        <v>2</v>
      </c>
    </row>
    <row r="19" spans="1:8" x14ac:dyDescent="0.3">
      <c r="A19" s="165" t="s">
        <v>12</v>
      </c>
      <c r="B19" s="165" t="s">
        <v>47</v>
      </c>
      <c r="C19" s="189" t="s">
        <v>46</v>
      </c>
      <c r="D19" s="189"/>
      <c r="E19" s="189"/>
      <c r="F19" s="163">
        <v>1</v>
      </c>
    </row>
    <row r="20" spans="1:8" x14ac:dyDescent="0.3">
      <c r="A20" s="165" t="s">
        <v>13</v>
      </c>
      <c r="B20" s="165" t="s">
        <v>47</v>
      </c>
      <c r="C20" s="189" t="s">
        <v>57</v>
      </c>
      <c r="D20" s="189"/>
      <c r="E20" s="189"/>
      <c r="F20" s="163">
        <v>0</v>
      </c>
    </row>
    <row r="22" spans="1:8" ht="34.799999999999997" customHeight="1" x14ac:dyDescent="0.3">
      <c r="A22" s="185" t="s">
        <v>123</v>
      </c>
      <c r="B22" s="185"/>
      <c r="C22" s="185"/>
      <c r="D22" s="185"/>
      <c r="E22" s="185"/>
      <c r="F22" s="185"/>
      <c r="G22" s="185"/>
      <c r="H22" s="185"/>
    </row>
    <row r="24" spans="1:8" ht="28.8" x14ac:dyDescent="0.3">
      <c r="A24" s="164" t="s">
        <v>89</v>
      </c>
      <c r="B24" s="166" t="s">
        <v>124</v>
      </c>
      <c r="C24" s="190" t="s">
        <v>125</v>
      </c>
      <c r="D24" s="191"/>
      <c r="E24" s="192"/>
      <c r="F24" s="164" t="s">
        <v>90</v>
      </c>
    </row>
    <row r="25" spans="1:8" x14ac:dyDescent="0.3">
      <c r="A25" s="163" t="s">
        <v>37</v>
      </c>
      <c r="B25" s="163">
        <v>0</v>
      </c>
      <c r="C25" s="187"/>
      <c r="D25" s="187"/>
      <c r="E25" s="187"/>
      <c r="F25" s="163">
        <v>2</v>
      </c>
    </row>
    <row r="26" spans="1:8" x14ac:dyDescent="0.3">
      <c r="A26" s="163" t="s">
        <v>11</v>
      </c>
      <c r="B26" s="163" t="s">
        <v>50</v>
      </c>
      <c r="C26" s="187" t="s">
        <v>52</v>
      </c>
      <c r="D26" s="187"/>
      <c r="E26" s="187"/>
      <c r="F26" s="163">
        <v>2</v>
      </c>
    </row>
    <row r="27" spans="1:8" ht="29.4" customHeight="1" x14ac:dyDescent="0.3">
      <c r="A27" s="163" t="s">
        <v>12</v>
      </c>
      <c r="B27" s="163" t="s">
        <v>50</v>
      </c>
      <c r="C27" s="187" t="s">
        <v>53</v>
      </c>
      <c r="D27" s="187"/>
      <c r="E27" s="187"/>
      <c r="F27" s="163">
        <v>1</v>
      </c>
    </row>
    <row r="28" spans="1:8" x14ac:dyDescent="0.3">
      <c r="A28" s="163" t="s">
        <v>13</v>
      </c>
      <c r="B28" s="163" t="s">
        <v>50</v>
      </c>
      <c r="C28" s="187" t="s">
        <v>54</v>
      </c>
      <c r="D28" s="187"/>
      <c r="E28" s="187"/>
      <c r="F28" s="163">
        <v>0</v>
      </c>
    </row>
    <row r="30" spans="1:8" ht="63" customHeight="1" x14ac:dyDescent="0.3">
      <c r="A30" s="185" t="s">
        <v>117</v>
      </c>
      <c r="B30" s="185"/>
      <c r="C30" s="185"/>
      <c r="D30" s="185"/>
      <c r="E30" s="185"/>
      <c r="F30" s="185"/>
      <c r="G30" s="185"/>
      <c r="H30" s="185"/>
    </row>
    <row r="32" spans="1:8" ht="48.6" customHeight="1" x14ac:dyDescent="0.3">
      <c r="A32" s="185" t="s">
        <v>91</v>
      </c>
      <c r="B32" s="185"/>
      <c r="C32" s="185"/>
      <c r="D32" s="185"/>
      <c r="E32" s="185"/>
      <c r="F32" s="185"/>
      <c r="G32" s="185"/>
      <c r="H32" s="185"/>
    </row>
    <row r="34" spans="1:8" ht="31.8" customHeight="1" x14ac:dyDescent="0.3">
      <c r="B34" s="185" t="s">
        <v>112</v>
      </c>
      <c r="C34" s="185"/>
      <c r="D34" s="185"/>
      <c r="E34" s="185"/>
      <c r="F34" s="185"/>
      <c r="G34" s="185"/>
      <c r="H34" s="185"/>
    </row>
    <row r="35" spans="1:8" ht="46.8" customHeight="1" x14ac:dyDescent="0.3">
      <c r="B35" s="185" t="s">
        <v>113</v>
      </c>
      <c r="C35" s="185"/>
      <c r="D35" s="185"/>
      <c r="E35" s="185"/>
      <c r="F35" s="185"/>
      <c r="G35" s="185"/>
      <c r="H35" s="185"/>
    </row>
    <row r="37" spans="1:8" ht="34.799999999999997" customHeight="1" x14ac:dyDescent="0.3">
      <c r="A37" s="185" t="s">
        <v>126</v>
      </c>
      <c r="B37" s="185"/>
      <c r="C37" s="185"/>
      <c r="D37" s="185"/>
      <c r="E37" s="185"/>
      <c r="F37" s="185"/>
      <c r="G37" s="185"/>
      <c r="H37" s="185"/>
    </row>
    <row r="39" spans="1:8" ht="28.8" x14ac:dyDescent="0.3">
      <c r="A39" s="68" t="s">
        <v>92</v>
      </c>
      <c r="B39" s="68" t="s">
        <v>6</v>
      </c>
      <c r="C39" s="164" t="s">
        <v>93</v>
      </c>
      <c r="D39" s="164" t="s">
        <v>94</v>
      </c>
      <c r="E39" s="164" t="s">
        <v>95</v>
      </c>
      <c r="F39" s="164" t="s">
        <v>96</v>
      </c>
    </row>
    <row r="40" spans="1:8" x14ac:dyDescent="0.3">
      <c r="A40" s="26" t="s">
        <v>97</v>
      </c>
      <c r="B40" s="26" t="s">
        <v>98</v>
      </c>
      <c r="C40" s="8">
        <v>26150.514912280702</v>
      </c>
      <c r="D40" s="8">
        <v>3700.3531463334657</v>
      </c>
      <c r="E40" s="167">
        <v>0.14150211415514882</v>
      </c>
      <c r="F40" s="167" t="s">
        <v>11</v>
      </c>
    </row>
    <row r="41" spans="1:8" x14ac:dyDescent="0.3">
      <c r="A41" s="26" t="s">
        <v>97</v>
      </c>
      <c r="B41" s="26" t="s">
        <v>99</v>
      </c>
      <c r="C41" s="8">
        <v>26150.514912280702</v>
      </c>
      <c r="D41" s="8">
        <v>241.65754637240289</v>
      </c>
      <c r="E41" s="167">
        <v>9.2410243998261241E-3</v>
      </c>
      <c r="F41" s="167" t="s">
        <v>13</v>
      </c>
    </row>
    <row r="42" spans="1:8" x14ac:dyDescent="0.3">
      <c r="A42" s="26" t="s">
        <v>97</v>
      </c>
      <c r="B42" s="26" t="s">
        <v>100</v>
      </c>
      <c r="C42" s="8">
        <v>26150.514912280702</v>
      </c>
      <c r="D42" s="8">
        <v>977.9168276950445</v>
      </c>
      <c r="E42" s="167">
        <v>3.7395700657343427E-2</v>
      </c>
      <c r="F42" s="167" t="s">
        <v>12</v>
      </c>
    </row>
    <row r="43" spans="1:8" x14ac:dyDescent="0.3">
      <c r="A43" s="26" t="s">
        <v>97</v>
      </c>
      <c r="B43" s="26" t="s">
        <v>101</v>
      </c>
      <c r="C43" s="8">
        <v>26150.514912280702</v>
      </c>
      <c r="D43" s="8">
        <v>245.54542640022518</v>
      </c>
      <c r="E43" s="167">
        <v>9.3896975728349086E-3</v>
      </c>
      <c r="F43" s="167" t="s">
        <v>13</v>
      </c>
    </row>
    <row r="44" spans="1:8" x14ac:dyDescent="0.3">
      <c r="A44" s="26" t="s">
        <v>97</v>
      </c>
      <c r="B44" s="26" t="s">
        <v>102</v>
      </c>
      <c r="C44" s="8">
        <v>26150.514912280702</v>
      </c>
      <c r="D44" s="8">
        <v>114.76542290035395</v>
      </c>
      <c r="E44" s="167">
        <v>4.3886486857074572E-3</v>
      </c>
      <c r="F44" s="167" t="s">
        <v>13</v>
      </c>
    </row>
    <row r="45" spans="1:8" x14ac:dyDescent="0.3">
      <c r="A45" s="26" t="s">
        <v>97</v>
      </c>
      <c r="B45" s="26" t="s">
        <v>103</v>
      </c>
      <c r="C45" s="8">
        <v>26150.514912280702</v>
      </c>
      <c r="D45" s="8">
        <v>905.18154152830709</v>
      </c>
      <c r="E45" s="167">
        <v>3.461429132713633E-2</v>
      </c>
      <c r="F45" s="167" t="s">
        <v>12</v>
      </c>
    </row>
    <row r="46" spans="1:8" x14ac:dyDescent="0.3">
      <c r="A46" s="26" t="s">
        <v>104</v>
      </c>
      <c r="B46" s="26" t="s">
        <v>98</v>
      </c>
      <c r="C46" s="8">
        <v>26150.514912280702</v>
      </c>
      <c r="D46" s="8">
        <v>2480.8366546223519</v>
      </c>
      <c r="E46" s="167">
        <v>9.4867602528824826E-2</v>
      </c>
      <c r="F46" s="167" t="s">
        <v>11</v>
      </c>
    </row>
    <row r="47" spans="1:8" x14ac:dyDescent="0.3">
      <c r="A47" s="26" t="s">
        <v>104</v>
      </c>
      <c r="B47" s="26" t="s">
        <v>99</v>
      </c>
      <c r="C47" s="8">
        <v>26150.514912280702</v>
      </c>
      <c r="D47" s="8">
        <v>184.43253604003627</v>
      </c>
      <c r="E47" s="167">
        <v>7.0527305737075104E-3</v>
      </c>
      <c r="F47" s="167" t="s">
        <v>13</v>
      </c>
    </row>
    <row r="48" spans="1:8" x14ac:dyDescent="0.3">
      <c r="A48" s="26" t="s">
        <v>104</v>
      </c>
      <c r="B48" s="26" t="s">
        <v>100</v>
      </c>
      <c r="C48" s="8">
        <v>26150.514912280702</v>
      </c>
      <c r="D48" s="8">
        <v>189.76498596200634</v>
      </c>
      <c r="E48" s="167">
        <v>7.2566443375418838E-3</v>
      </c>
      <c r="F48" s="167" t="s">
        <v>13</v>
      </c>
    </row>
    <row r="49" spans="1:8" x14ac:dyDescent="0.3">
      <c r="A49" s="26" t="s">
        <v>104</v>
      </c>
      <c r="B49" s="26" t="s">
        <v>101</v>
      </c>
      <c r="C49" s="8">
        <v>26150.514912280702</v>
      </c>
      <c r="D49" s="8">
        <v>16.574561403508774</v>
      </c>
      <c r="E49" s="167">
        <v>6.3381395965266798E-4</v>
      </c>
      <c r="F49" s="167" t="s">
        <v>13</v>
      </c>
    </row>
    <row r="50" spans="1:8" x14ac:dyDescent="0.3">
      <c r="A50" s="26" t="s">
        <v>104</v>
      </c>
      <c r="B50" s="26" t="s">
        <v>102</v>
      </c>
      <c r="C50" s="8">
        <v>26150.514912280702</v>
      </c>
      <c r="D50" s="8">
        <v>52.07706251931198</v>
      </c>
      <c r="E50" s="167">
        <v>1.9914354533361696E-3</v>
      </c>
      <c r="F50" s="167" t="s">
        <v>13</v>
      </c>
    </row>
    <row r="51" spans="1:8" x14ac:dyDescent="0.3">
      <c r="A51" s="26" t="s">
        <v>104</v>
      </c>
      <c r="B51" s="26" t="s">
        <v>103</v>
      </c>
      <c r="C51" s="8">
        <v>26150.514912280702</v>
      </c>
      <c r="D51" s="8">
        <v>393.70486527643408</v>
      </c>
      <c r="E51" s="167">
        <v>1.5055338932983837E-2</v>
      </c>
      <c r="F51" s="167" t="s">
        <v>12</v>
      </c>
    </row>
    <row r="52" spans="1:8" x14ac:dyDescent="0.3">
      <c r="A52" s="26" t="s">
        <v>105</v>
      </c>
      <c r="B52" s="26" t="s">
        <v>99</v>
      </c>
      <c r="C52" s="8">
        <v>26150.514912280702</v>
      </c>
      <c r="D52" s="8">
        <v>1091.6483712552804</v>
      </c>
      <c r="E52" s="167">
        <v>4.1744813626695541E-2</v>
      </c>
      <c r="F52" s="167" t="s">
        <v>12</v>
      </c>
    </row>
    <row r="53" spans="1:8" x14ac:dyDescent="0.3">
      <c r="A53" s="26" t="s">
        <v>105</v>
      </c>
      <c r="B53" s="26" t="s">
        <v>100</v>
      </c>
      <c r="C53" s="8">
        <v>26150.514912280702</v>
      </c>
      <c r="D53" s="8">
        <v>89.604422359812759</v>
      </c>
      <c r="E53" s="167">
        <v>3.426487878360402E-3</v>
      </c>
      <c r="F53" s="167" t="s">
        <v>13</v>
      </c>
    </row>
    <row r="54" spans="1:8" x14ac:dyDescent="0.3">
      <c r="A54" s="26" t="s">
        <v>105</v>
      </c>
      <c r="B54" s="26" t="s">
        <v>102</v>
      </c>
      <c r="C54" s="8">
        <v>26150.514912280702</v>
      </c>
      <c r="D54" s="8">
        <v>166.8113815517693</v>
      </c>
      <c r="E54" s="167">
        <v>6.3788947220091638E-3</v>
      </c>
      <c r="F54" s="167" t="s">
        <v>13</v>
      </c>
    </row>
    <row r="55" spans="1:8" x14ac:dyDescent="0.3">
      <c r="A55" s="26" t="s">
        <v>105</v>
      </c>
      <c r="B55" s="26" t="s">
        <v>103</v>
      </c>
      <c r="C55" s="8">
        <v>26150.514912280702</v>
      </c>
      <c r="D55" s="8">
        <v>1672.6801927212466</v>
      </c>
      <c r="E55" s="167">
        <v>6.3963566236920608E-2</v>
      </c>
      <c r="F55" s="167" t="s">
        <v>11</v>
      </c>
    </row>
    <row r="56" spans="1:8" x14ac:dyDescent="0.3">
      <c r="A56" s="26" t="s">
        <v>105</v>
      </c>
      <c r="B56" s="26" t="s">
        <v>106</v>
      </c>
      <c r="C56" s="8">
        <v>26150.514912280702</v>
      </c>
      <c r="D56" s="8">
        <v>8222.4097104465382</v>
      </c>
      <c r="E56" s="167">
        <v>0.31442630242761155</v>
      </c>
      <c r="F56" s="167" t="s">
        <v>11</v>
      </c>
    </row>
    <row r="57" spans="1:8" x14ac:dyDescent="0.3">
      <c r="A57" s="26" t="s">
        <v>107</v>
      </c>
      <c r="B57" s="26" t="s">
        <v>99</v>
      </c>
      <c r="C57" s="8">
        <v>26150.514912280702</v>
      </c>
      <c r="D57" s="8">
        <v>737.50353951620014</v>
      </c>
      <c r="E57" s="167">
        <v>2.8202256895899846E-2</v>
      </c>
      <c r="F57" s="167" t="s">
        <v>12</v>
      </c>
    </row>
    <row r="58" spans="1:8" x14ac:dyDescent="0.3">
      <c r="A58" s="26" t="s">
        <v>107</v>
      </c>
      <c r="B58" s="26" t="s">
        <v>100</v>
      </c>
      <c r="C58" s="8">
        <v>26150.514912280702</v>
      </c>
      <c r="D58" s="8">
        <v>333.22844419848383</v>
      </c>
      <c r="E58" s="167">
        <v>1.2742710624103024E-2</v>
      </c>
      <c r="F58" s="167" t="s">
        <v>12</v>
      </c>
    </row>
    <row r="59" spans="1:8" x14ac:dyDescent="0.3">
      <c r="A59" s="26" t="s">
        <v>107</v>
      </c>
      <c r="B59" s="26" t="s">
        <v>101</v>
      </c>
      <c r="C59" s="8">
        <v>26150.514912280702</v>
      </c>
      <c r="D59" s="8">
        <v>27.377119258898333</v>
      </c>
      <c r="E59" s="167">
        <v>1.0469055523660684E-3</v>
      </c>
      <c r="F59" s="167" t="s">
        <v>13</v>
      </c>
    </row>
    <row r="60" spans="1:8" x14ac:dyDescent="0.3">
      <c r="A60" s="26" t="s">
        <v>107</v>
      </c>
      <c r="B60" s="26" t="s">
        <v>102</v>
      </c>
      <c r="C60" s="8">
        <v>26150.514912280702</v>
      </c>
      <c r="D60" s="8">
        <v>58.911362309690801</v>
      </c>
      <c r="E60" s="167">
        <v>2.2527802036519397E-3</v>
      </c>
      <c r="F60" s="167" t="s">
        <v>13</v>
      </c>
    </row>
    <row r="61" spans="1:8" x14ac:dyDescent="0.3">
      <c r="A61" s="26" t="s">
        <v>107</v>
      </c>
      <c r="B61" s="26" t="s">
        <v>103</v>
      </c>
      <c r="C61" s="8">
        <v>26150.514912280702</v>
      </c>
      <c r="D61" s="8">
        <v>4247.5297916093314</v>
      </c>
      <c r="E61" s="167">
        <v>0.16242623924833782</v>
      </c>
      <c r="F61" s="167" t="s">
        <v>11</v>
      </c>
    </row>
    <row r="63" spans="1:8" ht="34.200000000000003" customHeight="1" x14ac:dyDescent="0.3">
      <c r="A63" s="185" t="s">
        <v>127</v>
      </c>
      <c r="B63" s="185"/>
      <c r="C63" s="185"/>
      <c r="D63" s="185"/>
      <c r="E63" s="185"/>
      <c r="F63" s="185"/>
      <c r="G63" s="185"/>
      <c r="H63" s="185"/>
    </row>
    <row r="65" spans="1:8" x14ac:dyDescent="0.3">
      <c r="A65" s="185" t="s">
        <v>108</v>
      </c>
      <c r="B65" s="185"/>
      <c r="C65" s="185"/>
      <c r="D65" s="185"/>
      <c r="E65" s="185"/>
      <c r="F65" s="185"/>
      <c r="G65" s="185"/>
      <c r="H65" s="185"/>
    </row>
    <row r="67" spans="1:8" ht="42" customHeight="1" x14ac:dyDescent="0.3">
      <c r="B67" s="186" t="s">
        <v>118</v>
      </c>
      <c r="C67" s="186"/>
      <c r="D67" s="186"/>
      <c r="E67" s="186"/>
      <c r="F67" s="186"/>
      <c r="G67" s="186"/>
      <c r="H67" s="186"/>
    </row>
    <row r="68" spans="1:8" ht="76.8" customHeight="1" x14ac:dyDescent="0.3">
      <c r="B68" s="185" t="s">
        <v>114</v>
      </c>
      <c r="C68" s="185"/>
      <c r="D68" s="185"/>
      <c r="E68" s="185"/>
      <c r="F68" s="185"/>
      <c r="G68" s="185"/>
      <c r="H68" s="185"/>
    </row>
    <row r="70" spans="1:8" ht="36" customHeight="1" x14ac:dyDescent="0.3">
      <c r="A70" s="185" t="s">
        <v>115</v>
      </c>
      <c r="B70" s="185"/>
      <c r="C70" s="185"/>
      <c r="D70" s="185"/>
      <c r="E70" s="185"/>
      <c r="F70" s="185"/>
      <c r="G70" s="185"/>
      <c r="H70" s="185"/>
    </row>
    <row r="72" spans="1:8" x14ac:dyDescent="0.3">
      <c r="A72" s="185" t="s">
        <v>109</v>
      </c>
      <c r="B72" s="185"/>
      <c r="C72" s="185"/>
      <c r="D72" s="185"/>
      <c r="E72" s="185"/>
      <c r="F72" s="185"/>
      <c r="G72" s="185"/>
      <c r="H72" s="185"/>
    </row>
    <row r="74" spans="1:8" x14ac:dyDescent="0.3">
      <c r="A74" s="68" t="s">
        <v>44</v>
      </c>
      <c r="B74" s="165" t="s">
        <v>11</v>
      </c>
      <c r="C74" s="165" t="s">
        <v>12</v>
      </c>
      <c r="D74" s="165" t="s">
        <v>13</v>
      </c>
      <c r="E74" s="165" t="s">
        <v>41</v>
      </c>
    </row>
    <row r="75" spans="1:8" x14ac:dyDescent="0.3">
      <c r="A75" s="68" t="s">
        <v>29</v>
      </c>
      <c r="B75" s="165">
        <v>6</v>
      </c>
      <c r="C75" s="165">
        <v>4</v>
      </c>
      <c r="D75" s="165">
        <v>2</v>
      </c>
      <c r="E75" s="165">
        <v>0</v>
      </c>
    </row>
    <row r="78" spans="1:8" x14ac:dyDescent="0.3">
      <c r="A78" s="184" t="s">
        <v>119</v>
      </c>
      <c r="B78" s="184"/>
      <c r="C78" s="184"/>
      <c r="D78" s="184"/>
      <c r="E78" s="184"/>
      <c r="F78" s="184"/>
      <c r="G78" s="184"/>
      <c r="H78" s="184"/>
    </row>
    <row r="80" spans="1:8" ht="55.2" customHeight="1" x14ac:dyDescent="0.3">
      <c r="A80" s="185" t="s">
        <v>143</v>
      </c>
      <c r="B80" s="185"/>
      <c r="C80" s="185"/>
      <c r="D80" s="185"/>
      <c r="E80" s="185"/>
      <c r="F80" s="185"/>
      <c r="G80" s="185"/>
      <c r="H80" s="185"/>
    </row>
  </sheetData>
  <sheetProtection algorithmName="SHA-512" hashValue="NYKperm4J6gFWxudpF58qPWcnGlh0wKiQ22aVV+SDvWzxl9HEDNTJQgc9oH+8E7LzIWJDwz5lzuEA0TQiwa5vg==" saltValue="hLBo0Wyg6IYpWJBZYllFHw==" spinCount="100000" sheet="1" objects="1" scenarios="1"/>
  <mergeCells count="30">
    <mergeCell ref="A3:H3"/>
    <mergeCell ref="A8:H8"/>
    <mergeCell ref="A5:H5"/>
    <mergeCell ref="A12:H12"/>
    <mergeCell ref="A14:H14"/>
    <mergeCell ref="A6:H6"/>
    <mergeCell ref="C16:E16"/>
    <mergeCell ref="C20:E20"/>
    <mergeCell ref="C24:E24"/>
    <mergeCell ref="C17:E17"/>
    <mergeCell ref="C18:E18"/>
    <mergeCell ref="C19:E19"/>
    <mergeCell ref="A22:H22"/>
    <mergeCell ref="C25:E25"/>
    <mergeCell ref="C26:E26"/>
    <mergeCell ref="C27:E27"/>
    <mergeCell ref="C28:E28"/>
    <mergeCell ref="A30:H30"/>
    <mergeCell ref="A78:H78"/>
    <mergeCell ref="A80:H80"/>
    <mergeCell ref="A32:H32"/>
    <mergeCell ref="B34:H34"/>
    <mergeCell ref="B35:H35"/>
    <mergeCell ref="A37:H37"/>
    <mergeCell ref="A63:H63"/>
    <mergeCell ref="A65:H65"/>
    <mergeCell ref="B67:H67"/>
    <mergeCell ref="B68:H68"/>
    <mergeCell ref="A70:H70"/>
    <mergeCell ref="A72:H72"/>
  </mergeCells>
  <pageMargins left="0.7" right="0.7" top="0.75" bottom="0.75" header="0.3" footer="0.3"/>
  <pageSetup paperSize="9" scale="70"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DC866-1219-465E-9A8A-0369EA654DEA}">
  <dimension ref="A1:AU56"/>
  <sheetViews>
    <sheetView tabSelected="1" workbookViewId="0">
      <pane ySplit="7" topLeftCell="A8" activePane="bottomLeft" state="frozen"/>
      <selection activeCell="E1" sqref="E1"/>
      <selection pane="bottomLeft" activeCell="B1" sqref="B1:F1"/>
    </sheetView>
  </sheetViews>
  <sheetFormatPr defaultRowHeight="14.4" x14ac:dyDescent="0.3"/>
  <cols>
    <col min="1" max="1" width="19.44140625" style="102" customWidth="1"/>
    <col min="2" max="2" width="13.5546875" style="101" bestFit="1" customWidth="1"/>
    <col min="3" max="3" width="8.88671875" style="101" hidden="1" customWidth="1"/>
    <col min="4" max="4" width="12.21875" style="101" hidden="1" customWidth="1"/>
    <col min="5" max="5" width="12.21875" style="102" customWidth="1"/>
    <col min="6" max="6" width="13.6640625" style="102" customWidth="1"/>
    <col min="7" max="7" width="14.6640625" style="102" hidden="1" customWidth="1"/>
    <col min="8" max="8" width="14.33203125" style="102" hidden="1" customWidth="1"/>
    <col min="9" max="9" width="19.21875" style="102" hidden="1" customWidth="1"/>
    <col min="10" max="10" width="18.6640625" style="102" hidden="1" customWidth="1"/>
    <col min="11" max="11" width="12.88671875" style="102" hidden="1" customWidth="1"/>
    <col min="12" max="13" width="11.88671875" style="102" hidden="1" customWidth="1"/>
    <col min="14" max="14" width="10.6640625" style="102" hidden="1" customWidth="1"/>
    <col min="15" max="15" width="15" style="102" hidden="1" customWidth="1"/>
    <col min="16" max="16" width="11.6640625" style="102" hidden="1" customWidth="1"/>
    <col min="17" max="17" width="12.6640625" style="102" hidden="1" customWidth="1"/>
    <col min="18" max="18" width="19.21875" style="102" hidden="1" customWidth="1"/>
    <col min="19" max="19" width="11.77734375" style="102" hidden="1" customWidth="1"/>
    <col min="20" max="20" width="11.88671875" style="102" hidden="1" customWidth="1"/>
    <col min="21" max="21" width="10.6640625" style="102" hidden="1" customWidth="1"/>
    <col min="22" max="22" width="12.44140625" style="102" hidden="1" customWidth="1"/>
    <col min="23" max="23" width="13.5546875" style="102" customWidth="1"/>
    <col min="24" max="24" width="14.21875" style="102" hidden="1" customWidth="1"/>
    <col min="25" max="25" width="12.44140625" style="102" bestFit="1" customWidth="1"/>
    <col min="26" max="26" width="18" style="75" hidden="1" customWidth="1"/>
    <col min="27" max="27" width="14" style="75" hidden="1" customWidth="1"/>
    <col min="28" max="28" width="10.33203125" style="74" customWidth="1"/>
    <col min="29" max="29" width="11" style="74" hidden="1" customWidth="1"/>
    <col min="30" max="30" width="13" style="74" hidden="1" customWidth="1"/>
    <col min="31" max="31" width="10.21875" style="74" hidden="1" customWidth="1"/>
    <col min="32" max="32" width="12.77734375" style="74" hidden="1" customWidth="1"/>
    <col min="33" max="33" width="21.33203125" style="74" hidden="1" customWidth="1"/>
    <col min="34" max="34" width="11.5546875" style="74" hidden="1" customWidth="1"/>
    <col min="35" max="35" width="16.5546875" style="74" hidden="1" customWidth="1"/>
    <col min="36" max="36" width="11.5546875" style="74" hidden="1" customWidth="1"/>
    <col min="37" max="37" width="12.5546875" style="102" customWidth="1"/>
    <col min="38" max="38" width="11.44140625" style="102" bestFit="1" customWidth="1"/>
    <col min="39" max="39" width="19.5546875" style="102" customWidth="1"/>
    <col min="40" max="40" width="12.6640625" style="102" customWidth="1"/>
    <col min="41" max="41" width="8.88671875" style="102"/>
    <col min="42" max="42" width="29.21875" style="102" customWidth="1"/>
    <col min="43" max="47" width="8.88671875" style="102"/>
    <col min="48" max="16384" width="8.88671875" style="74"/>
  </cols>
  <sheetData>
    <row r="1" spans="1:46" ht="18" x14ac:dyDescent="0.3">
      <c r="A1" s="100" t="s">
        <v>130</v>
      </c>
      <c r="B1" s="204"/>
      <c r="C1" s="204"/>
      <c r="D1" s="204"/>
      <c r="E1" s="204"/>
      <c r="F1" s="204"/>
      <c r="W1" s="103"/>
      <c r="X1" s="103"/>
      <c r="Z1" s="74"/>
      <c r="AA1" s="74"/>
      <c r="AB1" s="102"/>
    </row>
    <row r="2" spans="1:46" ht="18" x14ac:dyDescent="0.3">
      <c r="A2" s="104"/>
      <c r="B2" s="102"/>
      <c r="W2" s="103"/>
      <c r="X2" s="103"/>
      <c r="Z2" s="74"/>
      <c r="AA2" s="74"/>
      <c r="AB2" s="102"/>
    </row>
    <row r="3" spans="1:46" ht="43.2" hidden="1" customHeight="1" x14ac:dyDescent="0.3">
      <c r="G3" s="199" t="s">
        <v>0</v>
      </c>
      <c r="H3" s="200"/>
      <c r="I3" s="105" t="s">
        <v>1</v>
      </c>
      <c r="J3" s="105" t="s">
        <v>2</v>
      </c>
      <c r="K3" s="105" t="s">
        <v>3</v>
      </c>
      <c r="L3" s="209" t="s">
        <v>4</v>
      </c>
      <c r="M3" s="209"/>
      <c r="N3" s="209" t="s">
        <v>5</v>
      </c>
      <c r="O3" s="209"/>
      <c r="P3" s="210" t="s">
        <v>51</v>
      </c>
      <c r="Q3" s="211"/>
      <c r="R3" s="211"/>
      <c r="S3" s="211"/>
      <c r="T3" s="211"/>
      <c r="U3" s="211"/>
      <c r="V3" s="211"/>
      <c r="W3" s="211"/>
      <c r="X3" s="211"/>
      <c r="Y3" s="212"/>
      <c r="AB3" s="102"/>
      <c r="AG3" s="76" t="s">
        <v>59</v>
      </c>
      <c r="AI3" s="76" t="s">
        <v>66</v>
      </c>
    </row>
    <row r="4" spans="1:46" ht="51.6" customHeight="1" x14ac:dyDescent="0.3">
      <c r="A4" s="106" t="s">
        <v>73</v>
      </c>
      <c r="B4" s="107" t="s">
        <v>9</v>
      </c>
      <c r="C4" s="108" t="s">
        <v>8</v>
      </c>
      <c r="D4" s="108" t="s">
        <v>9</v>
      </c>
      <c r="E4" s="109" t="s">
        <v>10</v>
      </c>
      <c r="F4" s="109" t="s">
        <v>77</v>
      </c>
      <c r="G4" s="105" t="s">
        <v>61</v>
      </c>
      <c r="H4" s="105" t="s">
        <v>61</v>
      </c>
      <c r="I4" s="105" t="s">
        <v>12</v>
      </c>
      <c r="J4" s="105" t="s">
        <v>13</v>
      </c>
      <c r="K4" s="105" t="s">
        <v>14</v>
      </c>
      <c r="L4" s="199" t="s">
        <v>65</v>
      </c>
      <c r="M4" s="200"/>
      <c r="N4" s="199" t="s">
        <v>60</v>
      </c>
      <c r="O4" s="200"/>
      <c r="P4" s="110" t="s">
        <v>62</v>
      </c>
      <c r="Q4" s="111" t="s">
        <v>17</v>
      </c>
      <c r="R4" s="111" t="s">
        <v>18</v>
      </c>
      <c r="S4" s="111" t="s">
        <v>19</v>
      </c>
      <c r="T4" s="111" t="s">
        <v>20</v>
      </c>
      <c r="U4" s="110" t="s">
        <v>21</v>
      </c>
      <c r="V4" s="110" t="s">
        <v>22</v>
      </c>
      <c r="W4" s="109" t="s">
        <v>79</v>
      </c>
      <c r="X4" s="110" t="s">
        <v>63</v>
      </c>
      <c r="Y4" s="109" t="s">
        <v>40</v>
      </c>
      <c r="Z4" s="77" t="s">
        <v>73</v>
      </c>
      <c r="AA4" s="78" t="s">
        <v>9</v>
      </c>
      <c r="AB4" s="109" t="s">
        <v>45</v>
      </c>
      <c r="AC4" s="79" t="s">
        <v>23</v>
      </c>
      <c r="AD4" s="79" t="s">
        <v>24</v>
      </c>
      <c r="AE4" s="79" t="s">
        <v>25</v>
      </c>
      <c r="AF4" s="79" t="s">
        <v>26</v>
      </c>
      <c r="AG4" s="80" t="s">
        <v>42</v>
      </c>
      <c r="AH4" s="80" t="s">
        <v>43</v>
      </c>
      <c r="AI4" s="80" t="s">
        <v>67</v>
      </c>
      <c r="AJ4" s="80" t="s">
        <v>68</v>
      </c>
      <c r="AK4" s="109" t="s">
        <v>55</v>
      </c>
      <c r="AL4" s="109" t="s">
        <v>27</v>
      </c>
      <c r="AM4" s="109" t="s">
        <v>69</v>
      </c>
      <c r="AN4" s="109" t="s">
        <v>70</v>
      </c>
      <c r="AP4" s="148" t="s">
        <v>44</v>
      </c>
      <c r="AQ4" s="143" t="s">
        <v>11</v>
      </c>
      <c r="AR4" s="143" t="s">
        <v>12</v>
      </c>
      <c r="AS4" s="143" t="s">
        <v>13</v>
      </c>
      <c r="AT4" s="143" t="s">
        <v>41</v>
      </c>
    </row>
    <row r="5" spans="1:46" x14ac:dyDescent="0.3">
      <c r="A5" s="112" t="s">
        <v>16</v>
      </c>
      <c r="B5" s="113" t="s">
        <v>148</v>
      </c>
      <c r="C5" s="114" t="s">
        <v>28</v>
      </c>
      <c r="D5" s="114" t="str">
        <f>B5</f>
        <v>B-O-T-V</v>
      </c>
      <c r="E5" s="115" t="str">
        <f>IF(G5&gt;5,IF(N5&lt;$N$44,"A",IF(N5&gt;$N$46,"C","B")),"Blinde vlek")</f>
        <v>B</v>
      </c>
      <c r="F5" s="115" t="s">
        <v>28</v>
      </c>
      <c r="G5" s="116">
        <f>SUM(G8:G35)/4</f>
        <v>2557.5544795463666</v>
      </c>
      <c r="H5" s="116">
        <f>SUM(H8:H35)</f>
        <v>2557.5544795463661</v>
      </c>
      <c r="I5" s="116">
        <f t="shared" ref="I5:J5" si="0">SUM(I8:I35)</f>
        <v>2820.4999999999995</v>
      </c>
      <c r="J5" s="116">
        <f t="shared" si="0"/>
        <v>2397.4250000000002</v>
      </c>
      <c r="K5" s="116">
        <f>I5-H5</f>
        <v>262.94552045363343</v>
      </c>
      <c r="L5" s="116">
        <f>SUM(L8:L35)/4</f>
        <v>-160.12947954636712</v>
      </c>
      <c r="M5" s="116">
        <f>J5-H5</f>
        <v>-160.12947954636593</v>
      </c>
      <c r="N5" s="117">
        <f>O5</f>
        <v>-6.6792279027025211E-2</v>
      </c>
      <c r="O5" s="117">
        <f>M5/J5</f>
        <v>-6.6792279027025211E-2</v>
      </c>
      <c r="P5" s="116">
        <f>SUM(P8:P35)/4</f>
        <v>2550</v>
      </c>
      <c r="Q5" s="116">
        <f>SUM(Q8:Q35)</f>
        <v>2550</v>
      </c>
      <c r="R5" s="116">
        <f t="shared" ref="R5:T5" si="1">SUM(R8:R35)</f>
        <v>1877</v>
      </c>
      <c r="S5" s="116">
        <f t="shared" si="1"/>
        <v>673</v>
      </c>
      <c r="T5" s="116">
        <f t="shared" si="1"/>
        <v>550</v>
      </c>
      <c r="U5" s="116">
        <f>S5-T5</f>
        <v>123</v>
      </c>
      <c r="V5" s="117">
        <f>IF(R5=0,"Blinde vlek",U5/Q5)</f>
        <v>4.8235294117647057E-2</v>
      </c>
      <c r="W5" s="116" t="s">
        <v>28</v>
      </c>
      <c r="X5" s="116">
        <f>SUM(X8:X35)/4</f>
        <v>123</v>
      </c>
      <c r="Y5" s="116" t="str">
        <f>IF(P5=0,"Blinde vlek",IF(X5/P5&lt;$Y$44,"A",IF(X5/P5&gt;$Y$46,"C","B")))</f>
        <v>B</v>
      </c>
      <c r="Z5" s="81" t="s">
        <v>16</v>
      </c>
      <c r="AA5" s="82" t="str">
        <f>B5</f>
        <v>B-O-T-V</v>
      </c>
      <c r="AB5" s="116">
        <f>SUM(AB8:AB35)</f>
        <v>28</v>
      </c>
      <c r="AC5" s="85">
        <f>IF(F5= "A",2,IF(F5 = "Blinde vlek",2,IF(F5 = "B",1,0)))</f>
        <v>0</v>
      </c>
      <c r="AD5" s="85">
        <f>IF(E5= "A",2,IF(E5 = "Blinde vlek",2,IF(E5 = "B",1,0)))</f>
        <v>1</v>
      </c>
      <c r="AE5" s="85">
        <f>IF(W5= "A",2,IF(W5 = "Blinde vlek",2,IF(W5 = "B",1,0)))</f>
        <v>0</v>
      </c>
      <c r="AF5" s="85">
        <f>IF(Y5= "A",2,IF(Y5 = "Blinde vlek",2,IF(Y5 = "B",1,0)))</f>
        <v>1</v>
      </c>
      <c r="AG5" s="83">
        <f>M5+U5</f>
        <v>-37.129479546365928</v>
      </c>
      <c r="AH5" s="83">
        <f>M5+U5+AB5</f>
        <v>-9.1294795463659284</v>
      </c>
      <c r="AI5" s="83">
        <f>R5+T5</f>
        <v>2427</v>
      </c>
      <c r="AJ5" s="84">
        <f>AG5/AI5</f>
        <v>-1.5298508259730502E-2</v>
      </c>
      <c r="AK5" s="116">
        <f>SUM(AK8:AK35)</f>
        <v>18</v>
      </c>
      <c r="AL5" s="149">
        <f>SUM(AL8:AL35)</f>
        <v>75</v>
      </c>
      <c r="AM5" s="150">
        <f>IF(AK5&gt;0,AL5/AB5,0)</f>
        <v>2.6785714285714284</v>
      </c>
      <c r="AN5" s="150" t="str">
        <f>IF(AM5&gt;=$AQ$5,$AQ$4,IF(AM5&gt;=$AR$5,$AR$4,IF(AM5&gt;=$AS$5,$AS$4,$AT$4)))</f>
        <v>C</v>
      </c>
      <c r="AP5" s="148" t="s">
        <v>78</v>
      </c>
      <c r="AQ5" s="151">
        <v>6</v>
      </c>
      <c r="AR5" s="151">
        <v>4</v>
      </c>
      <c r="AS5" s="151">
        <v>2</v>
      </c>
      <c r="AT5" s="151">
        <v>0</v>
      </c>
    </row>
    <row r="6" spans="1:46" x14ac:dyDescent="0.3">
      <c r="A6" s="118"/>
      <c r="B6" s="119"/>
      <c r="C6" s="119"/>
      <c r="D6" s="119"/>
      <c r="E6" s="120"/>
      <c r="F6" s="120"/>
      <c r="G6" s="120"/>
      <c r="H6" s="120"/>
      <c r="I6" s="120"/>
      <c r="J6" s="120"/>
      <c r="K6" s="120"/>
      <c r="L6" s="120"/>
      <c r="M6" s="120"/>
      <c r="N6" s="120"/>
      <c r="O6" s="120"/>
      <c r="P6" s="120"/>
      <c r="Q6" s="120"/>
      <c r="R6" s="120"/>
      <c r="S6" s="120"/>
      <c r="T6" s="120"/>
      <c r="U6" s="120"/>
      <c r="V6" s="120"/>
      <c r="W6" s="120"/>
      <c r="X6" s="120"/>
      <c r="Y6" s="120"/>
      <c r="Z6" s="86"/>
      <c r="AA6" s="86"/>
      <c r="AB6" s="120"/>
      <c r="AC6" s="86"/>
      <c r="AD6" s="86"/>
      <c r="AE6" s="86"/>
      <c r="AF6" s="86"/>
      <c r="AG6" s="86"/>
      <c r="AH6" s="86"/>
      <c r="AI6" s="86"/>
      <c r="AJ6" s="86"/>
      <c r="AK6" s="120"/>
      <c r="AL6" s="120"/>
      <c r="AM6" s="120"/>
      <c r="AN6" s="152"/>
    </row>
    <row r="7" spans="1:46" ht="51.6" customHeight="1" x14ac:dyDescent="0.3">
      <c r="A7" s="121" t="s">
        <v>6</v>
      </c>
      <c r="B7" s="122" t="s">
        <v>7</v>
      </c>
      <c r="C7" s="123" t="s">
        <v>8</v>
      </c>
      <c r="D7" s="123" t="s">
        <v>9</v>
      </c>
      <c r="E7" s="124" t="s">
        <v>10</v>
      </c>
      <c r="F7" s="124" t="s">
        <v>77</v>
      </c>
      <c r="G7" s="125" t="s">
        <v>61</v>
      </c>
      <c r="H7" s="169" t="s">
        <v>142</v>
      </c>
      <c r="I7" s="169" t="s">
        <v>128</v>
      </c>
      <c r="J7" s="169" t="s">
        <v>129</v>
      </c>
      <c r="K7" s="125" t="s">
        <v>14</v>
      </c>
      <c r="L7" s="125" t="s">
        <v>65</v>
      </c>
      <c r="M7" s="125" t="s">
        <v>64</v>
      </c>
      <c r="N7" s="125" t="s">
        <v>60</v>
      </c>
      <c r="O7" s="125" t="s">
        <v>15</v>
      </c>
      <c r="P7" s="126" t="s">
        <v>62</v>
      </c>
      <c r="Q7" s="172" t="s">
        <v>17</v>
      </c>
      <c r="R7" s="172" t="s">
        <v>18</v>
      </c>
      <c r="S7" s="172" t="s">
        <v>19</v>
      </c>
      <c r="T7" s="172" t="s">
        <v>20</v>
      </c>
      <c r="U7" s="126" t="s">
        <v>21</v>
      </c>
      <c r="V7" s="126" t="s">
        <v>22</v>
      </c>
      <c r="W7" s="109" t="s">
        <v>79</v>
      </c>
      <c r="X7" s="126" t="s">
        <v>63</v>
      </c>
      <c r="Y7" s="124" t="s">
        <v>40</v>
      </c>
      <c r="Z7" s="87" t="s">
        <v>6</v>
      </c>
      <c r="AA7" s="88" t="s">
        <v>7</v>
      </c>
      <c r="AB7" s="109" t="s">
        <v>45</v>
      </c>
      <c r="AC7" s="89" t="s">
        <v>23</v>
      </c>
      <c r="AD7" s="89" t="s">
        <v>24</v>
      </c>
      <c r="AE7" s="89" t="s">
        <v>25</v>
      </c>
      <c r="AF7" s="89" t="s">
        <v>26</v>
      </c>
      <c r="AG7" s="90" t="s">
        <v>42</v>
      </c>
      <c r="AH7" s="90" t="s">
        <v>43</v>
      </c>
      <c r="AI7" s="90" t="s">
        <v>67</v>
      </c>
      <c r="AJ7" s="90" t="s">
        <v>68</v>
      </c>
      <c r="AK7" s="109" t="s">
        <v>55</v>
      </c>
      <c r="AL7" s="124" t="s">
        <v>29</v>
      </c>
      <c r="AM7" s="124" t="s">
        <v>72</v>
      </c>
      <c r="AN7" s="124" t="s">
        <v>71</v>
      </c>
    </row>
    <row r="8" spans="1:46" x14ac:dyDescent="0.3">
      <c r="A8" s="127" t="s">
        <v>30</v>
      </c>
      <c r="B8" s="179" t="s">
        <v>144</v>
      </c>
      <c r="C8" s="180">
        <v>37</v>
      </c>
      <c r="D8" s="129" t="str">
        <f>B$5</f>
        <v>B-O-T-V</v>
      </c>
      <c r="E8" s="130" t="str">
        <f t="shared" ref="E8:E35" si="2">IF(G8&gt;5,IF(N8&lt;$N$44,"A",IF(N8&gt;$N$46,"C","B")),"Blinde vlek")</f>
        <v>B</v>
      </c>
      <c r="F8" s="130" t="str">
        <f t="shared" ref="F8:F35" si="3">IF(H8&gt;5,IF(O8&lt;$O$44,"A",IF(O8&gt;$O$46,"C","B")),"Blinde vlek")</f>
        <v>B</v>
      </c>
      <c r="G8" s="131">
        <f>SUM(H8:H11)</f>
        <v>507.86550654458375</v>
      </c>
      <c r="H8" s="181">
        <v>176.7031790028158</v>
      </c>
      <c r="I8" s="181">
        <v>212.96229936543486</v>
      </c>
      <c r="J8" s="181">
        <v>181.01795446061962</v>
      </c>
      <c r="K8" s="132">
        <f t="shared" ref="K8:K27" si="4">I8-H8</f>
        <v>36.259120362619058</v>
      </c>
      <c r="L8" s="131">
        <f>SUM(M8:M11)</f>
        <v>-50.657061347871689</v>
      </c>
      <c r="M8" s="132">
        <f t="shared" ref="M8:M35" si="5">J8-H8</f>
        <v>4.3147754578038189</v>
      </c>
      <c r="N8" s="133">
        <f>IF(SUM(J8:J11)&gt;5,SUM(M8:M11)/SUM(J8:J11),"Blinde vlek")</f>
        <v>-0.11079642530679129</v>
      </c>
      <c r="O8" s="134">
        <f t="shared" ref="O8:O35" si="6">IF(J8&gt;0,(J8-H8)/J8,"Blinde vlek")</f>
        <v>2.3836173989815451E-2</v>
      </c>
      <c r="P8" s="131">
        <f>SUM(Q8:Q11)</f>
        <v>506</v>
      </c>
      <c r="Q8" s="132">
        <v>177</v>
      </c>
      <c r="R8" s="132">
        <v>128</v>
      </c>
      <c r="S8" s="132">
        <v>49</v>
      </c>
      <c r="T8" s="132">
        <v>19</v>
      </c>
      <c r="U8" s="132">
        <f>S8-T8</f>
        <v>30</v>
      </c>
      <c r="V8" s="134">
        <f t="shared" ref="V8:V35" si="7">IF(R8=0,"Blinde vlek",U8/Q8)</f>
        <v>0.16949152542372881</v>
      </c>
      <c r="W8" s="132" t="str">
        <f t="shared" ref="W8:W35" si="8">IF(Q8=0,"Blinde vlek",IF(U8/Q8&lt;$X$44,"A",IF(U8/Q8&gt;$X$46,"C","B")))</f>
        <v>B</v>
      </c>
      <c r="X8" s="131">
        <f>SUM(U8:U11)</f>
        <v>37</v>
      </c>
      <c r="Y8" s="132" t="str">
        <f t="shared" ref="Y8:Y35" si="9">IF(P8=0,"Blinde vlek",IF(X8/P8&lt;$Y$44,"A",IF(X8/P8&gt;$Y$46,"C","B")))</f>
        <v>B</v>
      </c>
      <c r="Z8" s="94" t="s">
        <v>30</v>
      </c>
      <c r="AA8" s="95" t="str">
        <f t="shared" ref="AA8:AA35" si="10">B8</f>
        <v>Brugge</v>
      </c>
      <c r="AB8" s="96">
        <v>1</v>
      </c>
      <c r="AC8" s="91">
        <f t="shared" ref="AC8:AC35" si="11">IF(F8= "A",2,IF(F8 = "Blinde vlek",2,IF(F8 = "B",1,0)))</f>
        <v>1</v>
      </c>
      <c r="AD8" s="91">
        <f t="shared" ref="AD8:AD35" si="12">IF(E8= "A",2,IF(E8 = "Blinde vlek",2,IF(E8 = "B",1,0)))</f>
        <v>1</v>
      </c>
      <c r="AE8" s="91">
        <f t="shared" ref="AE8:AE35" si="13">IF(W8= "A",2,IF(W8 = "Blinde vlek",2,IF(W8 = "B",1,0)))</f>
        <v>1</v>
      </c>
      <c r="AF8" s="91">
        <f t="shared" ref="AF8:AF35" si="14">IF(Y8= "A",2,IF(Y8 = "Blinde vlek",2,IF(Y8 = "B",1,0)))</f>
        <v>1</v>
      </c>
      <c r="AG8" s="92">
        <f t="shared" ref="AG8:AG27" si="15">M8+U8</f>
        <v>34.314775457803819</v>
      </c>
      <c r="AH8" s="92">
        <f t="shared" ref="AH8:AH27" si="16">M8+U8+AB8</f>
        <v>35.314775457803819</v>
      </c>
      <c r="AI8" s="92">
        <f t="shared" ref="AI8:AI26" si="17">R8+T8</f>
        <v>147</v>
      </c>
      <c r="AJ8" s="93">
        <f t="shared" ref="AJ8:AJ27" si="18">AG8/AI8</f>
        <v>0.23343384665172665</v>
      </c>
      <c r="AK8" s="153">
        <f t="shared" ref="AK8:AK19" si="19">IF(AG8&gt;0,0,IF(AG8&lt;-AB8,AB8,-AG8))</f>
        <v>0</v>
      </c>
      <c r="AL8" s="154">
        <f>AK8*SUM(AC8:AF8)</f>
        <v>0</v>
      </c>
      <c r="AM8" s="155">
        <f t="shared" ref="AM8:AM27" si="20">IF(AK8&gt;0,AL8/AB8,0)</f>
        <v>0</v>
      </c>
      <c r="AN8" s="155" t="str">
        <f>IF(AM8&gt;=$AQ$5,$AQ$4,IF(AM8&gt;=$AR$5,$AR$4,IF(AM8&gt;=$AS$5,$AS$4,$AT$4)))</f>
        <v>D</v>
      </c>
      <c r="AP8" s="148" t="s">
        <v>80</v>
      </c>
      <c r="AQ8" s="134">
        <v>0.6</v>
      </c>
      <c r="AR8" s="156" t="s">
        <v>81</v>
      </c>
      <c r="AS8" s="157"/>
      <c r="AT8" s="158"/>
    </row>
    <row r="9" spans="1:46" x14ac:dyDescent="0.3">
      <c r="A9" s="127" t="s">
        <v>30</v>
      </c>
      <c r="B9" s="179" t="s">
        <v>145</v>
      </c>
      <c r="C9" s="180">
        <v>40</v>
      </c>
      <c r="D9" s="129" t="str">
        <f t="shared" ref="D9:D35" si="21">B$5</f>
        <v>B-O-T-V</v>
      </c>
      <c r="E9" s="130" t="str">
        <f t="shared" si="2"/>
        <v>B</v>
      </c>
      <c r="F9" s="130" t="str">
        <f t="shared" si="3"/>
        <v>A</v>
      </c>
      <c r="G9" s="131">
        <f>SUM(H8:H11)</f>
        <v>507.86550654458375</v>
      </c>
      <c r="H9" s="181">
        <v>129.77150453405523</v>
      </c>
      <c r="I9" s="181">
        <v>117.68658250787865</v>
      </c>
      <c r="J9" s="181">
        <v>100.03359513169686</v>
      </c>
      <c r="K9" s="132">
        <f t="shared" si="4"/>
        <v>-12.084922026176571</v>
      </c>
      <c r="L9" s="131">
        <f>SUM(M8:M11)</f>
        <v>-50.657061347871689</v>
      </c>
      <c r="M9" s="132">
        <f t="shared" si="5"/>
        <v>-29.737909402358369</v>
      </c>
      <c r="N9" s="133">
        <f>IF(SUM(J8:J11)&gt;5,SUM(M8:M11)/SUM(J8:J11),"Blinde vlek")</f>
        <v>-0.11079642530679129</v>
      </c>
      <c r="O9" s="134">
        <f t="shared" si="6"/>
        <v>-0.2972792226772179</v>
      </c>
      <c r="P9" s="131">
        <f>SUM(Q8:Q11)</f>
        <v>506</v>
      </c>
      <c r="Q9" s="132">
        <v>129</v>
      </c>
      <c r="R9" s="132">
        <v>117</v>
      </c>
      <c r="S9" s="132">
        <v>12</v>
      </c>
      <c r="T9" s="132">
        <v>41</v>
      </c>
      <c r="U9" s="132">
        <f t="shared" ref="U9:U35" si="22">S9-T9</f>
        <v>-29</v>
      </c>
      <c r="V9" s="134">
        <f t="shared" si="7"/>
        <v>-0.22480620155038761</v>
      </c>
      <c r="W9" s="132" t="str">
        <f t="shared" si="8"/>
        <v>A</v>
      </c>
      <c r="X9" s="131">
        <f>SUM(U8:U11)</f>
        <v>37</v>
      </c>
      <c r="Y9" s="132" t="str">
        <f t="shared" si="9"/>
        <v>B</v>
      </c>
      <c r="Z9" s="94" t="s">
        <v>30</v>
      </c>
      <c r="AA9" s="95" t="str">
        <f t="shared" si="10"/>
        <v>Oostende</v>
      </c>
      <c r="AB9" s="96">
        <v>1</v>
      </c>
      <c r="AC9" s="91">
        <f t="shared" si="11"/>
        <v>2</v>
      </c>
      <c r="AD9" s="91">
        <f t="shared" si="12"/>
        <v>1</v>
      </c>
      <c r="AE9" s="91">
        <f t="shared" si="13"/>
        <v>2</v>
      </c>
      <c r="AF9" s="91">
        <f t="shared" si="14"/>
        <v>1</v>
      </c>
      <c r="AG9" s="92">
        <f t="shared" si="15"/>
        <v>-58.737909402358369</v>
      </c>
      <c r="AH9" s="92">
        <f t="shared" si="16"/>
        <v>-57.737909402358369</v>
      </c>
      <c r="AI9" s="92">
        <f t="shared" si="17"/>
        <v>158</v>
      </c>
      <c r="AJ9" s="93">
        <f t="shared" si="18"/>
        <v>-0.37175892026809093</v>
      </c>
      <c r="AK9" s="153">
        <f t="shared" si="19"/>
        <v>1</v>
      </c>
      <c r="AL9" s="154">
        <f t="shared" ref="AL9:AL27" si="23">AK9*SUM(AC9:AF9)</f>
        <v>6</v>
      </c>
      <c r="AM9" s="155">
        <f t="shared" si="20"/>
        <v>6</v>
      </c>
      <c r="AN9" s="155" t="str">
        <f>IF(AM9&gt;=$AQ$5,$AQ$4,IF(AM9&gt;=$AR$5,$AR$4,IF(AM9&gt;=$AS$5,$AS$4,$AT$4)))</f>
        <v>A</v>
      </c>
    </row>
    <row r="10" spans="1:46" x14ac:dyDescent="0.3">
      <c r="A10" s="127" t="s">
        <v>30</v>
      </c>
      <c r="B10" s="179" t="s">
        <v>146</v>
      </c>
      <c r="C10" s="180">
        <v>42</v>
      </c>
      <c r="D10" s="129" t="str">
        <f t="shared" si="21"/>
        <v>B-O-T-V</v>
      </c>
      <c r="E10" s="130" t="str">
        <f t="shared" si="2"/>
        <v>B</v>
      </c>
      <c r="F10" s="130" t="str">
        <f t="shared" si="3"/>
        <v>B</v>
      </c>
      <c r="G10" s="131">
        <f>SUM(H8:H11)</f>
        <v>507.86550654458375</v>
      </c>
      <c r="H10" s="181">
        <v>96.39550540380948</v>
      </c>
      <c r="I10" s="181">
        <v>100.64340659340661</v>
      </c>
      <c r="J10" s="181">
        <v>85.546895604395615</v>
      </c>
      <c r="K10" s="132">
        <f t="shared" si="4"/>
        <v>4.2479011895971297</v>
      </c>
      <c r="L10" s="131">
        <f>SUM(M8:M11)</f>
        <v>-50.657061347871689</v>
      </c>
      <c r="M10" s="132">
        <f t="shared" si="5"/>
        <v>-10.848609799413865</v>
      </c>
      <c r="N10" s="133">
        <f>IF(SUM(J8:J11)&gt;5,SUM(M8:M11)/SUM(J8:J11),"Blinde vlek")</f>
        <v>-0.11079642530679129</v>
      </c>
      <c r="O10" s="134">
        <f t="shared" si="6"/>
        <v>-0.12681476893775717</v>
      </c>
      <c r="P10" s="131">
        <f>SUM(Q8:Q11)</f>
        <v>506</v>
      </c>
      <c r="Q10" s="132">
        <v>96</v>
      </c>
      <c r="R10" s="132">
        <v>63</v>
      </c>
      <c r="S10" s="132">
        <v>33</v>
      </c>
      <c r="T10" s="132">
        <v>28</v>
      </c>
      <c r="U10" s="132">
        <f t="shared" si="22"/>
        <v>5</v>
      </c>
      <c r="V10" s="134">
        <f t="shared" si="7"/>
        <v>5.2083333333333336E-2</v>
      </c>
      <c r="W10" s="132" t="str">
        <f t="shared" si="8"/>
        <v>B</v>
      </c>
      <c r="X10" s="131">
        <f>SUM(U8:U11)</f>
        <v>37</v>
      </c>
      <c r="Y10" s="132" t="str">
        <f t="shared" si="9"/>
        <v>B</v>
      </c>
      <c r="Z10" s="94" t="s">
        <v>30</v>
      </c>
      <c r="AA10" s="95" t="str">
        <f t="shared" si="10"/>
        <v>Torhout</v>
      </c>
      <c r="AB10" s="96">
        <v>1</v>
      </c>
      <c r="AC10" s="91">
        <f t="shared" si="11"/>
        <v>1</v>
      </c>
      <c r="AD10" s="91">
        <f t="shared" si="12"/>
        <v>1</v>
      </c>
      <c r="AE10" s="91">
        <f t="shared" si="13"/>
        <v>1</v>
      </c>
      <c r="AF10" s="91">
        <f t="shared" si="14"/>
        <v>1</v>
      </c>
      <c r="AG10" s="92">
        <f t="shared" si="15"/>
        <v>-5.8486097994138646</v>
      </c>
      <c r="AH10" s="92">
        <f t="shared" si="16"/>
        <v>-4.8486097994138646</v>
      </c>
      <c r="AI10" s="92">
        <f t="shared" si="17"/>
        <v>91</v>
      </c>
      <c r="AJ10" s="93">
        <f t="shared" si="18"/>
        <v>-6.4270437356196308E-2</v>
      </c>
      <c r="AK10" s="153">
        <f t="shared" si="19"/>
        <v>1</v>
      </c>
      <c r="AL10" s="154">
        <f t="shared" si="23"/>
        <v>4</v>
      </c>
      <c r="AM10" s="155">
        <f t="shared" si="20"/>
        <v>4</v>
      </c>
      <c r="AN10" s="155" t="str">
        <f t="shared" ref="AN10:AN27" si="24">IF(AM10&gt;=$AQ$5,$AQ$4,IF(AM10&gt;=$AR$5,$AR$4,IF(AM10&gt;=$AS$5,$AS$4,$AT$4)))</f>
        <v>B</v>
      </c>
      <c r="AP10" s="159" t="s">
        <v>110</v>
      </c>
      <c r="AQ10" s="128">
        <v>2</v>
      </c>
    </row>
    <row r="11" spans="1:46" ht="14.4" customHeight="1" x14ac:dyDescent="0.3">
      <c r="A11" s="127" t="s">
        <v>30</v>
      </c>
      <c r="B11" s="179" t="s">
        <v>147</v>
      </c>
      <c r="C11" s="180">
        <v>43</v>
      </c>
      <c r="D11" s="129" t="str">
        <f t="shared" si="21"/>
        <v>B-O-T-V</v>
      </c>
      <c r="E11" s="130" t="str">
        <f t="shared" si="2"/>
        <v>B</v>
      </c>
      <c r="F11" s="130" t="str">
        <f t="shared" si="3"/>
        <v>B</v>
      </c>
      <c r="G11" s="131">
        <f>SUM(H8:H11)</f>
        <v>507.86550654458375</v>
      </c>
      <c r="H11" s="181">
        <v>104.99531760390329</v>
      </c>
      <c r="I11" s="181">
        <v>106.60000000000002</v>
      </c>
      <c r="J11" s="181">
        <v>90.610000000000014</v>
      </c>
      <c r="K11" s="132">
        <f t="shared" si="4"/>
        <v>1.6046823960967345</v>
      </c>
      <c r="L11" s="131">
        <f>SUM(M8:M11)</f>
        <v>-50.657061347871689</v>
      </c>
      <c r="M11" s="132">
        <f t="shared" si="5"/>
        <v>-14.385317603903275</v>
      </c>
      <c r="N11" s="133">
        <f>IF(SUM(J8:J11)&gt;5,SUM(M8:M11)/SUM(J8:J11),"Blinde vlek")</f>
        <v>-0.11079642530679129</v>
      </c>
      <c r="O11" s="134">
        <f t="shared" si="6"/>
        <v>-0.15876081672997763</v>
      </c>
      <c r="P11" s="131">
        <f>SUM(Q8:Q11)</f>
        <v>506</v>
      </c>
      <c r="Q11" s="132">
        <v>104</v>
      </c>
      <c r="R11" s="132">
        <v>70</v>
      </c>
      <c r="S11" s="132">
        <v>34</v>
      </c>
      <c r="T11" s="132">
        <v>3</v>
      </c>
      <c r="U11" s="132">
        <f t="shared" si="22"/>
        <v>31</v>
      </c>
      <c r="V11" s="134">
        <f t="shared" si="7"/>
        <v>0.29807692307692307</v>
      </c>
      <c r="W11" s="132" t="str">
        <f t="shared" si="8"/>
        <v>C</v>
      </c>
      <c r="X11" s="131">
        <f>SUM(U8:U11)</f>
        <v>37</v>
      </c>
      <c r="Y11" s="132" t="str">
        <f t="shared" si="9"/>
        <v>B</v>
      </c>
      <c r="Z11" s="94" t="s">
        <v>30</v>
      </c>
      <c r="AA11" s="95" t="str">
        <f t="shared" si="10"/>
        <v>Veurne</v>
      </c>
      <c r="AB11" s="96">
        <v>1</v>
      </c>
      <c r="AC11" s="91">
        <f t="shared" si="11"/>
        <v>1</v>
      </c>
      <c r="AD11" s="91">
        <f t="shared" si="12"/>
        <v>1</v>
      </c>
      <c r="AE11" s="91">
        <f t="shared" si="13"/>
        <v>0</v>
      </c>
      <c r="AF11" s="91">
        <f t="shared" si="14"/>
        <v>1</v>
      </c>
      <c r="AG11" s="92">
        <f t="shared" si="15"/>
        <v>16.614682396096725</v>
      </c>
      <c r="AH11" s="92">
        <f t="shared" si="16"/>
        <v>17.614682396096725</v>
      </c>
      <c r="AI11" s="92">
        <f t="shared" si="17"/>
        <v>73</v>
      </c>
      <c r="AJ11" s="93">
        <f t="shared" si="18"/>
        <v>0.22759838898762638</v>
      </c>
      <c r="AK11" s="153">
        <f t="shared" si="19"/>
        <v>0</v>
      </c>
      <c r="AL11" s="154">
        <f t="shared" si="23"/>
        <v>0</v>
      </c>
      <c r="AM11" s="155">
        <f t="shared" si="20"/>
        <v>0</v>
      </c>
      <c r="AN11" s="155" t="str">
        <f t="shared" si="24"/>
        <v>D</v>
      </c>
    </row>
    <row r="12" spans="1:46" x14ac:dyDescent="0.3">
      <c r="A12" s="135" t="s">
        <v>31</v>
      </c>
      <c r="B12" s="179" t="s">
        <v>144</v>
      </c>
      <c r="C12" s="180">
        <v>37</v>
      </c>
      <c r="D12" s="129" t="str">
        <f t="shared" si="21"/>
        <v>B-O-T-V</v>
      </c>
      <c r="E12" s="130" t="str">
        <f t="shared" si="2"/>
        <v>B</v>
      </c>
      <c r="F12" s="130" t="str">
        <f t="shared" si="3"/>
        <v>A</v>
      </c>
      <c r="G12" s="131">
        <f>SUM(H12:H15)</f>
        <v>701.12476195071906</v>
      </c>
      <c r="H12" s="181">
        <v>273.58529264932423</v>
      </c>
      <c r="I12" s="181">
        <v>214.56603080353898</v>
      </c>
      <c r="J12" s="181">
        <v>182.38112618300812</v>
      </c>
      <c r="K12" s="132">
        <f t="shared" si="4"/>
        <v>-59.019261845785252</v>
      </c>
      <c r="L12" s="131">
        <f>SUM(M12:M15)</f>
        <v>-91.055943547770937</v>
      </c>
      <c r="M12" s="132">
        <f t="shared" si="5"/>
        <v>-91.20416646631611</v>
      </c>
      <c r="N12" s="133">
        <f>IF(SUM(J12:J15)&gt;5,SUM(M12:M15)/SUM(J12:J15),"Blinde vlek")</f>
        <v>-0.14925520007093501</v>
      </c>
      <c r="O12" s="134">
        <f t="shared" si="6"/>
        <v>-0.50007458762371282</v>
      </c>
      <c r="P12" s="131">
        <f>SUM(Q12:Q15)</f>
        <v>699</v>
      </c>
      <c r="Q12" s="132">
        <v>274</v>
      </c>
      <c r="R12" s="132">
        <v>191</v>
      </c>
      <c r="S12" s="132">
        <v>83</v>
      </c>
      <c r="T12" s="132">
        <v>15</v>
      </c>
      <c r="U12" s="132">
        <f t="shared" si="22"/>
        <v>68</v>
      </c>
      <c r="V12" s="134">
        <f t="shared" si="7"/>
        <v>0.24817518248175183</v>
      </c>
      <c r="W12" s="132" t="str">
        <f t="shared" si="8"/>
        <v>C</v>
      </c>
      <c r="X12" s="131">
        <f>SUM(U12:U15)</f>
        <v>31</v>
      </c>
      <c r="Y12" s="132" t="str">
        <f t="shared" si="9"/>
        <v>B</v>
      </c>
      <c r="Z12" s="97" t="s">
        <v>31</v>
      </c>
      <c r="AA12" s="95" t="str">
        <f t="shared" si="10"/>
        <v>Brugge</v>
      </c>
      <c r="AB12" s="96">
        <v>1</v>
      </c>
      <c r="AC12" s="91">
        <f t="shared" si="11"/>
        <v>2</v>
      </c>
      <c r="AD12" s="91">
        <f t="shared" si="12"/>
        <v>1</v>
      </c>
      <c r="AE12" s="91">
        <f t="shared" si="13"/>
        <v>0</v>
      </c>
      <c r="AF12" s="91">
        <f t="shared" si="14"/>
        <v>1</v>
      </c>
      <c r="AG12" s="92">
        <f t="shared" si="15"/>
        <v>-23.20416646631611</v>
      </c>
      <c r="AH12" s="92">
        <f t="shared" si="16"/>
        <v>-22.20416646631611</v>
      </c>
      <c r="AI12" s="92">
        <f t="shared" si="17"/>
        <v>206</v>
      </c>
      <c r="AJ12" s="93">
        <f t="shared" si="18"/>
        <v>-0.11264158478794228</v>
      </c>
      <c r="AK12" s="153">
        <f t="shared" si="19"/>
        <v>1</v>
      </c>
      <c r="AL12" s="160">
        <f>AK12*SUM(AC12:AF12)*$AQ$8</f>
        <v>2.4</v>
      </c>
      <c r="AM12" s="155">
        <f t="shared" si="20"/>
        <v>2.4</v>
      </c>
      <c r="AN12" s="155" t="str">
        <f t="shared" si="24"/>
        <v>C</v>
      </c>
    </row>
    <row r="13" spans="1:46" x14ac:dyDescent="0.3">
      <c r="A13" s="135" t="s">
        <v>31</v>
      </c>
      <c r="B13" s="179" t="s">
        <v>145</v>
      </c>
      <c r="C13" s="180">
        <v>40</v>
      </c>
      <c r="D13" s="129" t="str">
        <f t="shared" si="21"/>
        <v>B-O-T-V</v>
      </c>
      <c r="E13" s="130" t="str">
        <f t="shared" si="2"/>
        <v>B</v>
      </c>
      <c r="F13" s="130" t="str">
        <f t="shared" si="3"/>
        <v>A</v>
      </c>
      <c r="G13" s="131">
        <f>SUM(H12:H15)</f>
        <v>701.12476195071906</v>
      </c>
      <c r="H13" s="181">
        <v>114.68297122686856</v>
      </c>
      <c r="I13" s="181">
        <v>101.24041144599703</v>
      </c>
      <c r="J13" s="181">
        <v>86.054349729097467</v>
      </c>
      <c r="K13" s="132">
        <f t="shared" si="4"/>
        <v>-13.442559780871534</v>
      </c>
      <c r="L13" s="131">
        <f>SUM(M12:M15)</f>
        <v>-91.055943547770937</v>
      </c>
      <c r="M13" s="132">
        <f t="shared" si="5"/>
        <v>-28.628621497771093</v>
      </c>
      <c r="N13" s="133">
        <f>IF(SUM(J12:J15)&gt;5,SUM(M12:M15)/SUM(J12:J15),"Blinde vlek")</f>
        <v>-0.14925520007093501</v>
      </c>
      <c r="O13" s="134">
        <f t="shared" si="6"/>
        <v>-0.3326807022294066</v>
      </c>
      <c r="P13" s="131">
        <f>SUM(Q12:Q15)</f>
        <v>699</v>
      </c>
      <c r="Q13" s="132">
        <v>114</v>
      </c>
      <c r="R13" s="132">
        <v>110</v>
      </c>
      <c r="S13" s="132">
        <v>4</v>
      </c>
      <c r="T13" s="132">
        <v>58</v>
      </c>
      <c r="U13" s="132">
        <f t="shared" si="22"/>
        <v>-54</v>
      </c>
      <c r="V13" s="134">
        <f t="shared" si="7"/>
        <v>-0.47368421052631576</v>
      </c>
      <c r="W13" s="132" t="str">
        <f t="shared" si="8"/>
        <v>A</v>
      </c>
      <c r="X13" s="131">
        <f>SUM(U12:U15)</f>
        <v>31</v>
      </c>
      <c r="Y13" s="132" t="str">
        <f t="shared" si="9"/>
        <v>B</v>
      </c>
      <c r="Z13" s="97" t="s">
        <v>31</v>
      </c>
      <c r="AA13" s="95" t="str">
        <f t="shared" si="10"/>
        <v>Oostende</v>
      </c>
      <c r="AB13" s="96">
        <v>1</v>
      </c>
      <c r="AC13" s="91">
        <f t="shared" si="11"/>
        <v>2</v>
      </c>
      <c r="AD13" s="91">
        <f t="shared" si="12"/>
        <v>1</v>
      </c>
      <c r="AE13" s="91">
        <f t="shared" si="13"/>
        <v>2</v>
      </c>
      <c r="AF13" s="91">
        <f t="shared" si="14"/>
        <v>1</v>
      </c>
      <c r="AG13" s="92">
        <f t="shared" si="15"/>
        <v>-82.628621497771093</v>
      </c>
      <c r="AH13" s="92">
        <f t="shared" si="16"/>
        <v>-81.628621497771093</v>
      </c>
      <c r="AI13" s="92">
        <f t="shared" si="17"/>
        <v>168</v>
      </c>
      <c r="AJ13" s="93">
        <f t="shared" si="18"/>
        <v>-0.49183703272482793</v>
      </c>
      <c r="AK13" s="153">
        <f t="shared" si="19"/>
        <v>1</v>
      </c>
      <c r="AL13" s="160">
        <f t="shared" ref="AL13:AL15" si="25">AK13*SUM(AC13:AF13)*$AQ$8</f>
        <v>3.5999999999999996</v>
      </c>
      <c r="AM13" s="155">
        <f t="shared" si="20"/>
        <v>3.5999999999999996</v>
      </c>
      <c r="AN13" s="155" t="str">
        <f t="shared" si="24"/>
        <v>C</v>
      </c>
    </row>
    <row r="14" spans="1:46" x14ac:dyDescent="0.3">
      <c r="A14" s="135" t="s">
        <v>31</v>
      </c>
      <c r="B14" s="179" t="s">
        <v>146</v>
      </c>
      <c r="C14" s="180">
        <v>42</v>
      </c>
      <c r="D14" s="129" t="str">
        <f t="shared" si="21"/>
        <v>B-O-T-V</v>
      </c>
      <c r="E14" s="130" t="str">
        <f t="shared" si="2"/>
        <v>B</v>
      </c>
      <c r="F14" s="130" t="str">
        <f t="shared" si="3"/>
        <v>C</v>
      </c>
      <c r="G14" s="131">
        <f>SUM(H12:H15)</f>
        <v>701.12476195071906</v>
      </c>
      <c r="H14" s="181">
        <v>171.56986800118784</v>
      </c>
      <c r="I14" s="181">
        <v>242.95491273432455</v>
      </c>
      <c r="J14" s="181">
        <v>206.51167582417585</v>
      </c>
      <c r="K14" s="132">
        <f t="shared" si="4"/>
        <v>71.385044733136709</v>
      </c>
      <c r="L14" s="131">
        <f>SUM(M12:M15)</f>
        <v>-91.055943547770937</v>
      </c>
      <c r="M14" s="132">
        <f t="shared" si="5"/>
        <v>34.941807822988011</v>
      </c>
      <c r="N14" s="133">
        <f>IF(SUM(J12:J15)&gt;5,SUM(M12:M15)/SUM(J12:J15),"Blinde vlek")</f>
        <v>-0.14925520007093501</v>
      </c>
      <c r="O14" s="134">
        <f t="shared" si="6"/>
        <v>0.16920015627948071</v>
      </c>
      <c r="P14" s="131">
        <f>SUM(Q12:Q15)</f>
        <v>699</v>
      </c>
      <c r="Q14" s="132">
        <v>171</v>
      </c>
      <c r="R14" s="132">
        <v>112</v>
      </c>
      <c r="S14" s="132">
        <v>59</v>
      </c>
      <c r="T14" s="132">
        <v>51</v>
      </c>
      <c r="U14" s="132">
        <f t="shared" si="22"/>
        <v>8</v>
      </c>
      <c r="V14" s="134">
        <f t="shared" si="7"/>
        <v>4.6783625730994149E-2</v>
      </c>
      <c r="W14" s="132" t="str">
        <f t="shared" si="8"/>
        <v>B</v>
      </c>
      <c r="X14" s="131">
        <f>SUM(U12:U15)</f>
        <v>31</v>
      </c>
      <c r="Y14" s="132" t="str">
        <f t="shared" si="9"/>
        <v>B</v>
      </c>
      <c r="Z14" s="97" t="s">
        <v>31</v>
      </c>
      <c r="AA14" s="95" t="str">
        <f t="shared" si="10"/>
        <v>Torhout</v>
      </c>
      <c r="AB14" s="96">
        <v>1</v>
      </c>
      <c r="AC14" s="91">
        <f t="shared" si="11"/>
        <v>0</v>
      </c>
      <c r="AD14" s="91">
        <f t="shared" si="12"/>
        <v>1</v>
      </c>
      <c r="AE14" s="91">
        <f t="shared" si="13"/>
        <v>1</v>
      </c>
      <c r="AF14" s="91">
        <f t="shared" si="14"/>
        <v>1</v>
      </c>
      <c r="AG14" s="92">
        <f t="shared" si="15"/>
        <v>42.941807822988011</v>
      </c>
      <c r="AH14" s="92">
        <f t="shared" si="16"/>
        <v>43.941807822988011</v>
      </c>
      <c r="AI14" s="92">
        <f t="shared" si="17"/>
        <v>163</v>
      </c>
      <c r="AJ14" s="93">
        <f t="shared" si="18"/>
        <v>0.26344667376066266</v>
      </c>
      <c r="AK14" s="153">
        <f t="shared" si="19"/>
        <v>0</v>
      </c>
      <c r="AL14" s="160">
        <f t="shared" si="25"/>
        <v>0</v>
      </c>
      <c r="AM14" s="155">
        <f t="shared" si="20"/>
        <v>0</v>
      </c>
      <c r="AN14" s="155" t="str">
        <f t="shared" si="24"/>
        <v>D</v>
      </c>
    </row>
    <row r="15" spans="1:46" x14ac:dyDescent="0.3">
      <c r="A15" s="135" t="s">
        <v>31</v>
      </c>
      <c r="B15" s="179" t="s">
        <v>147</v>
      </c>
      <c r="C15" s="180">
        <v>43</v>
      </c>
      <c r="D15" s="129" t="str">
        <f t="shared" si="21"/>
        <v>B-O-T-V</v>
      </c>
      <c r="E15" s="130" t="str">
        <f t="shared" si="2"/>
        <v>B</v>
      </c>
      <c r="F15" s="130" t="str">
        <f t="shared" si="3"/>
        <v>B</v>
      </c>
      <c r="G15" s="131">
        <f>SUM(H12:H15)</f>
        <v>701.12476195071906</v>
      </c>
      <c r="H15" s="181">
        <v>141.28663007333842</v>
      </c>
      <c r="I15" s="181">
        <v>158.96666666666667</v>
      </c>
      <c r="J15" s="181">
        <v>135.12166666666667</v>
      </c>
      <c r="K15" s="132">
        <f t="shared" si="4"/>
        <v>17.680036593328254</v>
      </c>
      <c r="L15" s="131">
        <f>SUM(M12:M15)</f>
        <v>-91.055943547770937</v>
      </c>
      <c r="M15" s="132">
        <f t="shared" si="5"/>
        <v>-6.1649634066717454</v>
      </c>
      <c r="N15" s="133">
        <f>IF(SUM(J12:J15)&gt;5,SUM(M12:M15)/SUM(J12:J15),"Blinde vlek")</f>
        <v>-0.14925520007093501</v>
      </c>
      <c r="O15" s="134">
        <f t="shared" si="6"/>
        <v>-4.5625276528598262E-2</v>
      </c>
      <c r="P15" s="131">
        <f>SUM(Q12:Q15)</f>
        <v>699</v>
      </c>
      <c r="Q15" s="132">
        <v>140</v>
      </c>
      <c r="R15" s="132">
        <v>108</v>
      </c>
      <c r="S15" s="132">
        <v>32</v>
      </c>
      <c r="T15" s="132">
        <v>23</v>
      </c>
      <c r="U15" s="132">
        <f t="shared" si="22"/>
        <v>9</v>
      </c>
      <c r="V15" s="134">
        <f t="shared" si="7"/>
        <v>6.4285714285714279E-2</v>
      </c>
      <c r="W15" s="132" t="str">
        <f t="shared" si="8"/>
        <v>B</v>
      </c>
      <c r="X15" s="131">
        <f>SUM(U12:U15)</f>
        <v>31</v>
      </c>
      <c r="Y15" s="132" t="str">
        <f t="shared" si="9"/>
        <v>B</v>
      </c>
      <c r="Z15" s="97" t="s">
        <v>31</v>
      </c>
      <c r="AA15" s="95" t="str">
        <f t="shared" si="10"/>
        <v>Veurne</v>
      </c>
      <c r="AB15" s="96">
        <v>1</v>
      </c>
      <c r="AC15" s="91">
        <f t="shared" si="11"/>
        <v>1</v>
      </c>
      <c r="AD15" s="91">
        <f t="shared" si="12"/>
        <v>1</v>
      </c>
      <c r="AE15" s="91">
        <f t="shared" si="13"/>
        <v>1</v>
      </c>
      <c r="AF15" s="91">
        <f t="shared" si="14"/>
        <v>1</v>
      </c>
      <c r="AG15" s="92">
        <f t="shared" si="15"/>
        <v>2.8350365933282546</v>
      </c>
      <c r="AH15" s="92">
        <f t="shared" si="16"/>
        <v>3.8350365933282546</v>
      </c>
      <c r="AI15" s="92">
        <f t="shared" si="17"/>
        <v>131</v>
      </c>
      <c r="AJ15" s="93">
        <f t="shared" si="18"/>
        <v>2.1641500712429425E-2</v>
      </c>
      <c r="AK15" s="153">
        <f t="shared" si="19"/>
        <v>0</v>
      </c>
      <c r="AL15" s="160">
        <f t="shared" si="25"/>
        <v>0</v>
      </c>
      <c r="AM15" s="155">
        <f t="shared" si="20"/>
        <v>0</v>
      </c>
      <c r="AN15" s="155" t="str">
        <f t="shared" si="24"/>
        <v>D</v>
      </c>
    </row>
    <row r="16" spans="1:46" x14ac:dyDescent="0.3">
      <c r="A16" s="127" t="s">
        <v>32</v>
      </c>
      <c r="B16" s="179" t="s">
        <v>144</v>
      </c>
      <c r="C16" s="180">
        <v>37</v>
      </c>
      <c r="D16" s="129" t="str">
        <f t="shared" si="21"/>
        <v>B-O-T-V</v>
      </c>
      <c r="E16" s="130" t="str">
        <f t="shared" si="2"/>
        <v>B</v>
      </c>
      <c r="F16" s="130" t="str">
        <f t="shared" si="3"/>
        <v>B</v>
      </c>
      <c r="G16" s="131">
        <f>SUM(H16:H19)</f>
        <v>919.54488369063642</v>
      </c>
      <c r="H16" s="181">
        <v>375.1937415466557</v>
      </c>
      <c r="I16" s="181">
        <v>366.30952368608479</v>
      </c>
      <c r="J16" s="181">
        <v>311.36309513317207</v>
      </c>
      <c r="K16" s="132">
        <f t="shared" si="4"/>
        <v>-8.8842178605709137</v>
      </c>
      <c r="L16" s="131">
        <f>SUM(M16:M19)</f>
        <v>-22.997144497820386</v>
      </c>
      <c r="M16" s="132">
        <f t="shared" si="5"/>
        <v>-63.830646413483635</v>
      </c>
      <c r="N16" s="133">
        <f>IF(SUM(J16:J19)&gt;5,SUM(M16:M19)/SUM(J16:J19),"Blinde vlek")</f>
        <v>-2.5650775181838371E-2</v>
      </c>
      <c r="O16" s="134">
        <f t="shared" si="6"/>
        <v>-0.20500389227625979</v>
      </c>
      <c r="P16" s="131">
        <f>SUM(Q16:Q19)</f>
        <v>916</v>
      </c>
      <c r="Q16" s="132">
        <v>376</v>
      </c>
      <c r="R16" s="132">
        <v>332</v>
      </c>
      <c r="S16" s="132">
        <v>44</v>
      </c>
      <c r="T16" s="132">
        <v>19</v>
      </c>
      <c r="U16" s="132">
        <f t="shared" si="22"/>
        <v>25</v>
      </c>
      <c r="V16" s="134">
        <f t="shared" si="7"/>
        <v>6.6489361702127658E-2</v>
      </c>
      <c r="W16" s="132" t="str">
        <f t="shared" si="8"/>
        <v>B</v>
      </c>
      <c r="X16" s="131">
        <f>SUM(U16:U19)</f>
        <v>39</v>
      </c>
      <c r="Y16" s="132" t="str">
        <f t="shared" si="9"/>
        <v>B</v>
      </c>
      <c r="Z16" s="94" t="s">
        <v>32</v>
      </c>
      <c r="AA16" s="95" t="str">
        <f t="shared" si="10"/>
        <v>Brugge</v>
      </c>
      <c r="AB16" s="96">
        <v>1</v>
      </c>
      <c r="AC16" s="91">
        <f t="shared" si="11"/>
        <v>1</v>
      </c>
      <c r="AD16" s="91">
        <f t="shared" si="12"/>
        <v>1</v>
      </c>
      <c r="AE16" s="91">
        <f t="shared" si="13"/>
        <v>1</v>
      </c>
      <c r="AF16" s="91">
        <f t="shared" si="14"/>
        <v>1</v>
      </c>
      <c r="AG16" s="92">
        <f t="shared" si="15"/>
        <v>-38.830646413483635</v>
      </c>
      <c r="AH16" s="92">
        <f t="shared" si="16"/>
        <v>-37.830646413483635</v>
      </c>
      <c r="AI16" s="92">
        <f t="shared" si="17"/>
        <v>351</v>
      </c>
      <c r="AJ16" s="93">
        <f t="shared" si="18"/>
        <v>-0.11062862226063713</v>
      </c>
      <c r="AK16" s="153">
        <f t="shared" si="19"/>
        <v>1</v>
      </c>
      <c r="AL16" s="154">
        <f t="shared" si="23"/>
        <v>4</v>
      </c>
      <c r="AM16" s="155">
        <f t="shared" si="20"/>
        <v>4</v>
      </c>
      <c r="AN16" s="155" t="str">
        <f t="shared" si="24"/>
        <v>B</v>
      </c>
    </row>
    <row r="17" spans="1:40" x14ac:dyDescent="0.3">
      <c r="A17" s="127" t="s">
        <v>32</v>
      </c>
      <c r="B17" s="179" t="s">
        <v>145</v>
      </c>
      <c r="C17" s="180">
        <v>40</v>
      </c>
      <c r="D17" s="129" t="str">
        <f t="shared" si="21"/>
        <v>B-O-T-V</v>
      </c>
      <c r="E17" s="130" t="str">
        <f t="shared" si="2"/>
        <v>B</v>
      </c>
      <c r="F17" s="130" t="str">
        <f t="shared" si="3"/>
        <v>B</v>
      </c>
      <c r="G17" s="131">
        <f>SUM(H16:H19)</f>
        <v>919.54488369063642</v>
      </c>
      <c r="H17" s="181">
        <v>170.23946630061332</v>
      </c>
      <c r="I17" s="181">
        <v>211.9175084175084</v>
      </c>
      <c r="J17" s="181">
        <v>180.12988215488213</v>
      </c>
      <c r="K17" s="132">
        <f t="shared" si="4"/>
        <v>41.678042116895085</v>
      </c>
      <c r="L17" s="131">
        <f>SUM(M16:M19)</f>
        <v>-22.997144497820386</v>
      </c>
      <c r="M17" s="132">
        <f t="shared" si="5"/>
        <v>9.8904158542688094</v>
      </c>
      <c r="N17" s="133">
        <f>IF(SUM(J16:J19)&gt;5,SUM(M16:M19)/SUM(J16:J19),"Blinde vlek")</f>
        <v>-2.5650775181838371E-2</v>
      </c>
      <c r="O17" s="134">
        <f t="shared" si="6"/>
        <v>5.4907135539924885E-2</v>
      </c>
      <c r="P17" s="131">
        <f>SUM(Q16:Q19)</f>
        <v>916</v>
      </c>
      <c r="Q17" s="132">
        <v>169</v>
      </c>
      <c r="R17" s="132">
        <v>161</v>
      </c>
      <c r="S17" s="132">
        <v>8</v>
      </c>
      <c r="T17" s="132">
        <v>51</v>
      </c>
      <c r="U17" s="132">
        <f t="shared" si="22"/>
        <v>-43</v>
      </c>
      <c r="V17" s="134">
        <f t="shared" si="7"/>
        <v>-0.25443786982248523</v>
      </c>
      <c r="W17" s="132" t="str">
        <f t="shared" si="8"/>
        <v>A</v>
      </c>
      <c r="X17" s="131">
        <f>SUM(U16:U19)</f>
        <v>39</v>
      </c>
      <c r="Y17" s="132" t="str">
        <f t="shared" si="9"/>
        <v>B</v>
      </c>
      <c r="Z17" s="94" t="s">
        <v>32</v>
      </c>
      <c r="AA17" s="95" t="str">
        <f t="shared" si="10"/>
        <v>Oostende</v>
      </c>
      <c r="AB17" s="96">
        <v>1</v>
      </c>
      <c r="AC17" s="91">
        <f t="shared" si="11"/>
        <v>1</v>
      </c>
      <c r="AD17" s="91">
        <f t="shared" si="12"/>
        <v>1</v>
      </c>
      <c r="AE17" s="91">
        <f t="shared" si="13"/>
        <v>2</v>
      </c>
      <c r="AF17" s="91">
        <f t="shared" si="14"/>
        <v>1</v>
      </c>
      <c r="AG17" s="92">
        <f t="shared" si="15"/>
        <v>-33.109584145731191</v>
      </c>
      <c r="AH17" s="92">
        <f t="shared" si="16"/>
        <v>-32.109584145731191</v>
      </c>
      <c r="AI17" s="92">
        <f t="shared" si="17"/>
        <v>212</v>
      </c>
      <c r="AJ17" s="93">
        <f t="shared" si="18"/>
        <v>-0.1561772837062792</v>
      </c>
      <c r="AK17" s="153">
        <f t="shared" si="19"/>
        <v>1</v>
      </c>
      <c r="AL17" s="154">
        <f t="shared" si="23"/>
        <v>5</v>
      </c>
      <c r="AM17" s="155">
        <f t="shared" si="20"/>
        <v>5</v>
      </c>
      <c r="AN17" s="155" t="str">
        <f t="shared" si="24"/>
        <v>B</v>
      </c>
    </row>
    <row r="18" spans="1:40" x14ac:dyDescent="0.3">
      <c r="A18" s="127" t="s">
        <v>32</v>
      </c>
      <c r="B18" s="179" t="s">
        <v>146</v>
      </c>
      <c r="C18" s="180">
        <v>42</v>
      </c>
      <c r="D18" s="129" t="str">
        <f t="shared" si="21"/>
        <v>B-O-T-V</v>
      </c>
      <c r="E18" s="130" t="str">
        <f t="shared" si="2"/>
        <v>B</v>
      </c>
      <c r="F18" s="130" t="str">
        <f t="shared" si="3"/>
        <v>B</v>
      </c>
      <c r="G18" s="131">
        <f>SUM(H16:H19)</f>
        <v>919.54488369063642</v>
      </c>
      <c r="H18" s="181">
        <v>177.67193391184836</v>
      </c>
      <c r="I18" s="181">
        <v>178.50168067226889</v>
      </c>
      <c r="J18" s="181">
        <v>151.72642857142856</v>
      </c>
      <c r="K18" s="132">
        <f t="shared" si="4"/>
        <v>0.82974676042053375</v>
      </c>
      <c r="L18" s="131">
        <f>SUM(M16:M19)</f>
        <v>-22.997144497820386</v>
      </c>
      <c r="M18" s="132">
        <f t="shared" si="5"/>
        <v>-25.9455053404198</v>
      </c>
      <c r="N18" s="133">
        <f>IF(SUM(J16:J19)&gt;5,SUM(M16:M19)/SUM(J16:J19),"Blinde vlek")</f>
        <v>-2.5650775181838371E-2</v>
      </c>
      <c r="O18" s="134">
        <f t="shared" si="6"/>
        <v>-0.17100188533209548</v>
      </c>
      <c r="P18" s="131">
        <f>SUM(Q16:Q19)</f>
        <v>916</v>
      </c>
      <c r="Q18" s="132">
        <v>177</v>
      </c>
      <c r="R18" s="132">
        <v>103</v>
      </c>
      <c r="S18" s="132">
        <v>74</v>
      </c>
      <c r="T18" s="132">
        <v>32</v>
      </c>
      <c r="U18" s="132">
        <f t="shared" si="22"/>
        <v>42</v>
      </c>
      <c r="V18" s="134">
        <f t="shared" si="7"/>
        <v>0.23728813559322035</v>
      </c>
      <c r="W18" s="132" t="str">
        <f t="shared" si="8"/>
        <v>C</v>
      </c>
      <c r="X18" s="131">
        <f>SUM(U16:U19)</f>
        <v>39</v>
      </c>
      <c r="Y18" s="132" t="str">
        <f t="shared" si="9"/>
        <v>B</v>
      </c>
      <c r="Z18" s="94" t="s">
        <v>32</v>
      </c>
      <c r="AA18" s="95" t="str">
        <f t="shared" si="10"/>
        <v>Torhout</v>
      </c>
      <c r="AB18" s="96">
        <v>1</v>
      </c>
      <c r="AC18" s="91">
        <f t="shared" si="11"/>
        <v>1</v>
      </c>
      <c r="AD18" s="91">
        <f t="shared" si="12"/>
        <v>1</v>
      </c>
      <c r="AE18" s="91">
        <f t="shared" si="13"/>
        <v>0</v>
      </c>
      <c r="AF18" s="91">
        <f t="shared" si="14"/>
        <v>1</v>
      </c>
      <c r="AG18" s="92">
        <f t="shared" si="15"/>
        <v>16.0544946595802</v>
      </c>
      <c r="AH18" s="92">
        <f t="shared" si="16"/>
        <v>17.0544946595802</v>
      </c>
      <c r="AI18" s="92">
        <f t="shared" si="17"/>
        <v>135</v>
      </c>
      <c r="AJ18" s="93">
        <f t="shared" si="18"/>
        <v>0.11892218266355704</v>
      </c>
      <c r="AK18" s="153">
        <f t="shared" si="19"/>
        <v>0</v>
      </c>
      <c r="AL18" s="154">
        <f t="shared" si="23"/>
        <v>0</v>
      </c>
      <c r="AM18" s="155">
        <f t="shared" si="20"/>
        <v>0</v>
      </c>
      <c r="AN18" s="155" t="str">
        <f t="shared" si="24"/>
        <v>D</v>
      </c>
    </row>
    <row r="19" spans="1:40" x14ac:dyDescent="0.3">
      <c r="A19" s="127" t="s">
        <v>32</v>
      </c>
      <c r="B19" s="179" t="s">
        <v>147</v>
      </c>
      <c r="C19" s="180">
        <v>43</v>
      </c>
      <c r="D19" s="129" t="str">
        <f t="shared" si="21"/>
        <v>B-O-T-V</v>
      </c>
      <c r="E19" s="130" t="str">
        <f t="shared" si="2"/>
        <v>B</v>
      </c>
      <c r="F19" s="130" t="str">
        <f t="shared" si="3"/>
        <v>C</v>
      </c>
      <c r="G19" s="131">
        <f>SUM(H16:H19)</f>
        <v>919.54488369063642</v>
      </c>
      <c r="H19" s="181">
        <v>196.43974193151905</v>
      </c>
      <c r="I19" s="181">
        <v>298.0333333333333</v>
      </c>
      <c r="J19" s="181">
        <v>253.32833333333329</v>
      </c>
      <c r="K19" s="132">
        <f t="shared" si="4"/>
        <v>101.59359140181425</v>
      </c>
      <c r="L19" s="131">
        <f>SUM(M16:M19)</f>
        <v>-22.997144497820386</v>
      </c>
      <c r="M19" s="132">
        <f t="shared" si="5"/>
        <v>56.888591401814239</v>
      </c>
      <c r="N19" s="133">
        <f>IF(SUM(J16:J19)&gt;5,SUM(M16:M19)/SUM(J16:J19),"Blinde vlek")</f>
        <v>-2.5650775181838371E-2</v>
      </c>
      <c r="O19" s="134">
        <f t="shared" si="6"/>
        <v>0.2245646614149526</v>
      </c>
      <c r="P19" s="131">
        <f>SUM(Q16:Q19)</f>
        <v>916</v>
      </c>
      <c r="Q19" s="132">
        <v>194</v>
      </c>
      <c r="R19" s="132">
        <v>163</v>
      </c>
      <c r="S19" s="132">
        <v>31</v>
      </c>
      <c r="T19" s="132">
        <v>16</v>
      </c>
      <c r="U19" s="132">
        <f t="shared" si="22"/>
        <v>15</v>
      </c>
      <c r="V19" s="134">
        <f t="shared" si="7"/>
        <v>7.7319587628865982E-2</v>
      </c>
      <c r="W19" s="132" t="str">
        <f t="shared" si="8"/>
        <v>B</v>
      </c>
      <c r="X19" s="131">
        <f>SUM(U16:U19)</f>
        <v>39</v>
      </c>
      <c r="Y19" s="132" t="str">
        <f t="shared" si="9"/>
        <v>B</v>
      </c>
      <c r="Z19" s="94" t="s">
        <v>32</v>
      </c>
      <c r="AA19" s="95" t="str">
        <f t="shared" si="10"/>
        <v>Veurne</v>
      </c>
      <c r="AB19" s="96">
        <v>1</v>
      </c>
      <c r="AC19" s="91">
        <f t="shared" si="11"/>
        <v>0</v>
      </c>
      <c r="AD19" s="91">
        <f t="shared" si="12"/>
        <v>1</v>
      </c>
      <c r="AE19" s="91">
        <f t="shared" si="13"/>
        <v>1</v>
      </c>
      <c r="AF19" s="91">
        <f t="shared" si="14"/>
        <v>1</v>
      </c>
      <c r="AG19" s="92">
        <f t="shared" si="15"/>
        <v>71.888591401814239</v>
      </c>
      <c r="AH19" s="92">
        <f t="shared" si="16"/>
        <v>72.888591401814239</v>
      </c>
      <c r="AI19" s="92">
        <f t="shared" si="17"/>
        <v>179</v>
      </c>
      <c r="AJ19" s="93">
        <f t="shared" si="18"/>
        <v>0.40161224246823596</v>
      </c>
      <c r="AK19" s="153">
        <f t="shared" si="19"/>
        <v>0</v>
      </c>
      <c r="AL19" s="154">
        <f t="shared" si="23"/>
        <v>0</v>
      </c>
      <c r="AM19" s="155">
        <f t="shared" si="20"/>
        <v>0</v>
      </c>
      <c r="AN19" s="155" t="str">
        <f t="shared" si="24"/>
        <v>D</v>
      </c>
    </row>
    <row r="20" spans="1:40" x14ac:dyDescent="0.3">
      <c r="A20" s="135" t="s">
        <v>33</v>
      </c>
      <c r="B20" s="179" t="s">
        <v>144</v>
      </c>
      <c r="C20" s="180">
        <v>37</v>
      </c>
      <c r="D20" s="129" t="str">
        <f t="shared" si="21"/>
        <v>B-O-T-V</v>
      </c>
      <c r="E20" s="130" t="str">
        <f t="shared" si="2"/>
        <v>B</v>
      </c>
      <c r="F20" s="130" t="str">
        <f t="shared" si="3"/>
        <v>B</v>
      </c>
      <c r="G20" s="131">
        <f>SUM(H20:H23)</f>
        <v>229.44877050529004</v>
      </c>
      <c r="H20" s="181">
        <v>150.6631818471669</v>
      </c>
      <c r="I20" s="181">
        <v>160.42248472606241</v>
      </c>
      <c r="J20" s="181">
        <v>136.35911201715305</v>
      </c>
      <c r="K20" s="132">
        <f t="shared" si="4"/>
        <v>9.759302878895511</v>
      </c>
      <c r="L20" s="131">
        <f>SUM(M20:M23)</f>
        <v>3.6025144961865365</v>
      </c>
      <c r="M20" s="132">
        <f t="shared" si="5"/>
        <v>-14.304069830013844</v>
      </c>
      <c r="N20" s="133">
        <f>IF(SUM(J20:J23)&gt;5,SUM(M20:M23)/SUM(J20:J23),"Blinde vlek")</f>
        <v>1.5458033179965996E-2</v>
      </c>
      <c r="O20" s="134">
        <f t="shared" si="6"/>
        <v>-0.10489999251545792</v>
      </c>
      <c r="P20" s="131">
        <f>SUM(Q20:Q23)</f>
        <v>229</v>
      </c>
      <c r="Q20" s="132">
        <v>151</v>
      </c>
      <c r="R20" s="132">
        <v>75</v>
      </c>
      <c r="S20" s="132">
        <v>76</v>
      </c>
      <c r="T20" s="132">
        <v>6</v>
      </c>
      <c r="U20" s="132">
        <f t="shared" si="22"/>
        <v>70</v>
      </c>
      <c r="V20" s="134">
        <f t="shared" si="7"/>
        <v>0.46357615894039733</v>
      </c>
      <c r="W20" s="132" t="str">
        <f t="shared" si="8"/>
        <v>C</v>
      </c>
      <c r="X20" s="131">
        <f>SUM(U20:U23)</f>
        <v>17</v>
      </c>
      <c r="Y20" s="132" t="str">
        <f t="shared" si="9"/>
        <v>B</v>
      </c>
      <c r="Z20" s="97" t="s">
        <v>33</v>
      </c>
      <c r="AA20" s="95" t="str">
        <f t="shared" si="10"/>
        <v>Brugge</v>
      </c>
      <c r="AB20" s="96">
        <v>1</v>
      </c>
      <c r="AC20" s="91">
        <f t="shared" si="11"/>
        <v>1</v>
      </c>
      <c r="AD20" s="91">
        <f t="shared" si="12"/>
        <v>1</v>
      </c>
      <c r="AE20" s="91">
        <f t="shared" si="13"/>
        <v>0</v>
      </c>
      <c r="AF20" s="91">
        <f t="shared" si="14"/>
        <v>1</v>
      </c>
      <c r="AG20" s="92">
        <f t="shared" si="15"/>
        <v>55.695930169986156</v>
      </c>
      <c r="AH20" s="92">
        <f t="shared" si="16"/>
        <v>56.695930169986156</v>
      </c>
      <c r="AI20" s="92">
        <f t="shared" si="17"/>
        <v>81</v>
      </c>
      <c r="AJ20" s="93">
        <f t="shared" si="18"/>
        <v>0.68760407617266861</v>
      </c>
      <c r="AK20" s="161">
        <f t="shared" ref="AK20:AK27" si="26">AB20</f>
        <v>1</v>
      </c>
      <c r="AL20" s="154">
        <f t="shared" si="23"/>
        <v>3</v>
      </c>
      <c r="AM20" s="155">
        <f t="shared" si="20"/>
        <v>3</v>
      </c>
      <c r="AN20" s="155" t="str">
        <f t="shared" si="24"/>
        <v>C</v>
      </c>
    </row>
    <row r="21" spans="1:40" x14ac:dyDescent="0.3">
      <c r="A21" s="135" t="s">
        <v>33</v>
      </c>
      <c r="B21" s="179" t="s">
        <v>145</v>
      </c>
      <c r="C21" s="180">
        <v>40</v>
      </c>
      <c r="D21" s="129" t="str">
        <f t="shared" si="21"/>
        <v>B-O-T-V</v>
      </c>
      <c r="E21" s="130" t="str">
        <f t="shared" si="2"/>
        <v>B</v>
      </c>
      <c r="F21" s="130" t="str">
        <f t="shared" si="3"/>
        <v>C</v>
      </c>
      <c r="G21" s="131">
        <f>SUM(H20:H23)</f>
        <v>229.44877050529004</v>
      </c>
      <c r="H21" s="181">
        <v>55.518552227807618</v>
      </c>
      <c r="I21" s="181">
        <v>85.155497628615905</v>
      </c>
      <c r="J21" s="181">
        <v>72.382172984323518</v>
      </c>
      <c r="K21" s="132">
        <f t="shared" si="4"/>
        <v>29.636945400808287</v>
      </c>
      <c r="L21" s="131">
        <f>SUM(M20:M23)</f>
        <v>3.6025144961865365</v>
      </c>
      <c r="M21" s="132">
        <f t="shared" si="5"/>
        <v>16.8636207565159</v>
      </c>
      <c r="N21" s="133">
        <f>IF(SUM(J20:J23)&gt;5,SUM(M20:M23)/SUM(J20:J23),"Blinde vlek")</f>
        <v>1.5458033179965996E-2</v>
      </c>
      <c r="O21" s="134">
        <f t="shared" si="6"/>
        <v>0.23298030524958419</v>
      </c>
      <c r="P21" s="131">
        <f>SUM(Q20:Q23)</f>
        <v>229</v>
      </c>
      <c r="Q21" s="132">
        <v>55</v>
      </c>
      <c r="R21" s="132">
        <v>40</v>
      </c>
      <c r="S21" s="132">
        <v>15</v>
      </c>
      <c r="T21" s="132">
        <v>24</v>
      </c>
      <c r="U21" s="132">
        <f t="shared" si="22"/>
        <v>-9</v>
      </c>
      <c r="V21" s="134">
        <f t="shared" si="7"/>
        <v>-0.16363636363636364</v>
      </c>
      <c r="W21" s="132" t="str">
        <f t="shared" si="8"/>
        <v>B</v>
      </c>
      <c r="X21" s="131">
        <f>SUM(U20:U23)</f>
        <v>17</v>
      </c>
      <c r="Y21" s="132" t="str">
        <f t="shared" si="9"/>
        <v>B</v>
      </c>
      <c r="Z21" s="97" t="s">
        <v>33</v>
      </c>
      <c r="AA21" s="95" t="str">
        <f t="shared" si="10"/>
        <v>Oostende</v>
      </c>
      <c r="AB21" s="96">
        <v>1</v>
      </c>
      <c r="AC21" s="91">
        <f t="shared" si="11"/>
        <v>0</v>
      </c>
      <c r="AD21" s="91">
        <f t="shared" si="12"/>
        <v>1</v>
      </c>
      <c r="AE21" s="91">
        <f t="shared" si="13"/>
        <v>1</v>
      </c>
      <c r="AF21" s="91">
        <f t="shared" si="14"/>
        <v>1</v>
      </c>
      <c r="AG21" s="92">
        <f t="shared" si="15"/>
        <v>7.8636207565158998</v>
      </c>
      <c r="AH21" s="92">
        <f t="shared" si="16"/>
        <v>8.8636207565158998</v>
      </c>
      <c r="AI21" s="92">
        <f t="shared" si="17"/>
        <v>64</v>
      </c>
      <c r="AJ21" s="93">
        <f t="shared" si="18"/>
        <v>0.12286907432056093</v>
      </c>
      <c r="AK21" s="161">
        <f t="shared" si="26"/>
        <v>1</v>
      </c>
      <c r="AL21" s="154">
        <f t="shared" si="23"/>
        <v>3</v>
      </c>
      <c r="AM21" s="155">
        <f t="shared" si="20"/>
        <v>3</v>
      </c>
      <c r="AN21" s="155" t="str">
        <f t="shared" si="24"/>
        <v>C</v>
      </c>
    </row>
    <row r="22" spans="1:40" x14ac:dyDescent="0.3">
      <c r="A22" s="135" t="s">
        <v>33</v>
      </c>
      <c r="B22" s="179" t="s">
        <v>146</v>
      </c>
      <c r="C22" s="180">
        <v>42</v>
      </c>
      <c r="D22" s="129" t="str">
        <f t="shared" si="21"/>
        <v>B-O-T-V</v>
      </c>
      <c r="E22" s="130" t="str">
        <f t="shared" si="2"/>
        <v>B</v>
      </c>
      <c r="F22" s="130" t="str">
        <f t="shared" si="3"/>
        <v>Blinde vlek</v>
      </c>
      <c r="G22" s="131">
        <f>SUM(H20:H23)</f>
        <v>229.44877050529004</v>
      </c>
      <c r="H22" s="181">
        <v>0</v>
      </c>
      <c r="I22" s="181">
        <v>0</v>
      </c>
      <c r="J22" s="181">
        <v>0</v>
      </c>
      <c r="K22" s="132">
        <f t="shared" si="4"/>
        <v>0</v>
      </c>
      <c r="L22" s="131">
        <f>SUM(M20:M23)</f>
        <v>3.6025144961865365</v>
      </c>
      <c r="M22" s="132">
        <f t="shared" si="5"/>
        <v>0</v>
      </c>
      <c r="N22" s="133">
        <f>IF(SUM(J20:J23)&gt;5,SUM(M20:M23)/SUM(J20:J23),"Blinde vlek")</f>
        <v>1.5458033179965996E-2</v>
      </c>
      <c r="O22" s="134" t="str">
        <f t="shared" si="6"/>
        <v>Blinde vlek</v>
      </c>
      <c r="P22" s="131">
        <f>SUM(Q20:Q23)</f>
        <v>229</v>
      </c>
      <c r="Q22" s="132"/>
      <c r="R22" s="132"/>
      <c r="S22" s="132"/>
      <c r="T22" s="132">
        <v>42</v>
      </c>
      <c r="U22" s="132">
        <f t="shared" si="22"/>
        <v>-42</v>
      </c>
      <c r="V22" s="134" t="str">
        <f t="shared" si="7"/>
        <v>Blinde vlek</v>
      </c>
      <c r="W22" s="132" t="str">
        <f t="shared" si="8"/>
        <v>Blinde vlek</v>
      </c>
      <c r="X22" s="131">
        <f>SUM(U20:U23)</f>
        <v>17</v>
      </c>
      <c r="Y22" s="132" t="str">
        <f t="shared" si="9"/>
        <v>B</v>
      </c>
      <c r="Z22" s="97" t="s">
        <v>33</v>
      </c>
      <c r="AA22" s="95" t="str">
        <f t="shared" si="10"/>
        <v>Torhout</v>
      </c>
      <c r="AB22" s="96">
        <v>1</v>
      </c>
      <c r="AC22" s="91">
        <f t="shared" si="11"/>
        <v>2</v>
      </c>
      <c r="AD22" s="91">
        <f t="shared" si="12"/>
        <v>1</v>
      </c>
      <c r="AE22" s="91">
        <f t="shared" si="13"/>
        <v>2</v>
      </c>
      <c r="AF22" s="91">
        <f t="shared" si="14"/>
        <v>1</v>
      </c>
      <c r="AG22" s="92">
        <f t="shared" si="15"/>
        <v>-42</v>
      </c>
      <c r="AH22" s="92">
        <f t="shared" si="16"/>
        <v>-41</v>
      </c>
      <c r="AI22" s="92">
        <f t="shared" si="17"/>
        <v>42</v>
      </c>
      <c r="AJ22" s="93">
        <f t="shared" si="18"/>
        <v>-1</v>
      </c>
      <c r="AK22" s="161">
        <f t="shared" si="26"/>
        <v>1</v>
      </c>
      <c r="AL22" s="154">
        <f t="shared" si="23"/>
        <v>6</v>
      </c>
      <c r="AM22" s="155">
        <f t="shared" si="20"/>
        <v>6</v>
      </c>
      <c r="AN22" s="155" t="str">
        <f t="shared" si="24"/>
        <v>A</v>
      </c>
    </row>
    <row r="23" spans="1:40" x14ac:dyDescent="0.3">
      <c r="A23" s="135" t="s">
        <v>33</v>
      </c>
      <c r="B23" s="179" t="s">
        <v>147</v>
      </c>
      <c r="C23" s="180">
        <v>43</v>
      </c>
      <c r="D23" s="129" t="str">
        <f t="shared" si="21"/>
        <v>B-O-T-V</v>
      </c>
      <c r="E23" s="130" t="str">
        <f t="shared" si="2"/>
        <v>B</v>
      </c>
      <c r="F23" s="130" t="str">
        <f t="shared" si="3"/>
        <v>B</v>
      </c>
      <c r="G23" s="131">
        <f>SUM(H20:H23)</f>
        <v>229.44877050529004</v>
      </c>
      <c r="H23" s="181">
        <v>23.267036430315517</v>
      </c>
      <c r="I23" s="181">
        <v>28.599999999999998</v>
      </c>
      <c r="J23" s="181">
        <v>24.31</v>
      </c>
      <c r="K23" s="132">
        <f t="shared" si="4"/>
        <v>5.3329635696844804</v>
      </c>
      <c r="L23" s="131">
        <f>SUM(M20:M23)</f>
        <v>3.6025144961865365</v>
      </c>
      <c r="M23" s="132">
        <f t="shared" si="5"/>
        <v>1.0429635696844812</v>
      </c>
      <c r="N23" s="133">
        <f>IF(SUM(J20:J23)&gt;5,SUM(M20:M23)/SUM(J20:J23),"Blinde vlek")</f>
        <v>1.5458033179965996E-2</v>
      </c>
      <c r="O23" s="134">
        <f t="shared" si="6"/>
        <v>4.2902656095618316E-2</v>
      </c>
      <c r="P23" s="131">
        <f>SUM(Q20:Q23)</f>
        <v>229</v>
      </c>
      <c r="Q23" s="132">
        <v>23</v>
      </c>
      <c r="R23" s="132">
        <v>15</v>
      </c>
      <c r="S23" s="132">
        <v>8</v>
      </c>
      <c r="T23" s="132">
        <v>10</v>
      </c>
      <c r="U23" s="132">
        <f t="shared" si="22"/>
        <v>-2</v>
      </c>
      <c r="V23" s="134">
        <f t="shared" si="7"/>
        <v>-8.6956521739130432E-2</v>
      </c>
      <c r="W23" s="132" t="str">
        <f t="shared" si="8"/>
        <v>B</v>
      </c>
      <c r="X23" s="131">
        <f>SUM(U20:U23)</f>
        <v>17</v>
      </c>
      <c r="Y23" s="132" t="str">
        <f t="shared" si="9"/>
        <v>B</v>
      </c>
      <c r="Z23" s="97" t="s">
        <v>33</v>
      </c>
      <c r="AA23" s="95" t="str">
        <f t="shared" si="10"/>
        <v>Veurne</v>
      </c>
      <c r="AB23" s="96">
        <v>1</v>
      </c>
      <c r="AC23" s="91">
        <f t="shared" si="11"/>
        <v>1</v>
      </c>
      <c r="AD23" s="91">
        <f t="shared" si="12"/>
        <v>1</v>
      </c>
      <c r="AE23" s="91">
        <f t="shared" si="13"/>
        <v>1</v>
      </c>
      <c r="AF23" s="91">
        <f t="shared" si="14"/>
        <v>1</v>
      </c>
      <c r="AG23" s="92">
        <f t="shared" si="15"/>
        <v>-0.95703643031551877</v>
      </c>
      <c r="AH23" s="92">
        <f t="shared" si="16"/>
        <v>4.2963569684481229E-2</v>
      </c>
      <c r="AI23" s="92">
        <f t="shared" si="17"/>
        <v>25</v>
      </c>
      <c r="AJ23" s="93">
        <f t="shared" si="18"/>
        <v>-3.8281457212620752E-2</v>
      </c>
      <c r="AK23" s="161">
        <f t="shared" si="26"/>
        <v>1</v>
      </c>
      <c r="AL23" s="154">
        <f t="shared" si="23"/>
        <v>4</v>
      </c>
      <c r="AM23" s="155">
        <f t="shared" si="20"/>
        <v>4</v>
      </c>
      <c r="AN23" s="155" t="str">
        <f t="shared" si="24"/>
        <v>B</v>
      </c>
    </row>
    <row r="24" spans="1:40" x14ac:dyDescent="0.3">
      <c r="A24" s="127" t="s">
        <v>34</v>
      </c>
      <c r="B24" s="179" t="s">
        <v>144</v>
      </c>
      <c r="C24" s="180">
        <v>37</v>
      </c>
      <c r="D24" s="129" t="str">
        <f t="shared" si="21"/>
        <v>B-O-T-V</v>
      </c>
      <c r="E24" s="130" t="str">
        <f t="shared" si="2"/>
        <v>B</v>
      </c>
      <c r="F24" s="130" t="str">
        <f t="shared" si="3"/>
        <v>B</v>
      </c>
      <c r="G24" s="131">
        <f>SUM(H24:H27)</f>
        <v>46.915795461791724</v>
      </c>
      <c r="H24" s="181">
        <v>46.915795461791724</v>
      </c>
      <c r="I24" s="181">
        <v>47.704367301231805</v>
      </c>
      <c r="J24" s="181">
        <v>40.548712206047036</v>
      </c>
      <c r="K24" s="132">
        <f t="shared" si="4"/>
        <v>0.78857183944008113</v>
      </c>
      <c r="L24" s="131">
        <f>SUM(M24:M27)</f>
        <v>-6.3670832557446886</v>
      </c>
      <c r="M24" s="132">
        <f t="shared" si="5"/>
        <v>-6.3670832557446886</v>
      </c>
      <c r="N24" s="133">
        <f>IF(SUM(J24:J27)&gt;5,SUM(M24:M27)/SUM(J24:J27),"Blinde vlek")</f>
        <v>-0.15702306952167927</v>
      </c>
      <c r="O24" s="134">
        <f t="shared" si="6"/>
        <v>-0.15702306952167927</v>
      </c>
      <c r="P24" s="131">
        <f>SUM(Q24:Q27)</f>
        <v>47</v>
      </c>
      <c r="Q24" s="132">
        <v>47</v>
      </c>
      <c r="R24" s="132">
        <v>20</v>
      </c>
      <c r="S24" s="132">
        <v>27</v>
      </c>
      <c r="T24" s="132">
        <v>19</v>
      </c>
      <c r="U24" s="132">
        <f t="shared" si="22"/>
        <v>8</v>
      </c>
      <c r="V24" s="134">
        <f t="shared" si="7"/>
        <v>0.1702127659574468</v>
      </c>
      <c r="W24" s="132" t="str">
        <f t="shared" si="8"/>
        <v>B</v>
      </c>
      <c r="X24" s="131">
        <f>SUM(U24:U27)</f>
        <v>-43</v>
      </c>
      <c r="Y24" s="132" t="str">
        <f t="shared" si="9"/>
        <v>A</v>
      </c>
      <c r="Z24" s="94" t="s">
        <v>34</v>
      </c>
      <c r="AA24" s="95" t="str">
        <f t="shared" si="10"/>
        <v>Brugge</v>
      </c>
      <c r="AB24" s="96">
        <v>1</v>
      </c>
      <c r="AC24" s="91">
        <f t="shared" si="11"/>
        <v>1</v>
      </c>
      <c r="AD24" s="91">
        <f t="shared" si="12"/>
        <v>1</v>
      </c>
      <c r="AE24" s="91">
        <f t="shared" si="13"/>
        <v>1</v>
      </c>
      <c r="AF24" s="91">
        <f t="shared" si="14"/>
        <v>2</v>
      </c>
      <c r="AG24" s="92">
        <f t="shared" si="15"/>
        <v>1.6329167442553114</v>
      </c>
      <c r="AH24" s="92">
        <f t="shared" si="16"/>
        <v>2.6329167442553114</v>
      </c>
      <c r="AI24" s="92">
        <f t="shared" si="17"/>
        <v>39</v>
      </c>
      <c r="AJ24" s="93">
        <f t="shared" si="18"/>
        <v>4.186966010911055E-2</v>
      </c>
      <c r="AK24" s="162">
        <f t="shared" si="26"/>
        <v>1</v>
      </c>
      <c r="AL24" s="154">
        <f t="shared" si="23"/>
        <v>5</v>
      </c>
      <c r="AM24" s="155">
        <f t="shared" si="20"/>
        <v>5</v>
      </c>
      <c r="AN24" s="155" t="str">
        <f t="shared" si="24"/>
        <v>B</v>
      </c>
    </row>
    <row r="25" spans="1:40" x14ac:dyDescent="0.3">
      <c r="A25" s="127" t="s">
        <v>34</v>
      </c>
      <c r="B25" s="179" t="s">
        <v>145</v>
      </c>
      <c r="C25" s="180">
        <v>40</v>
      </c>
      <c r="D25" s="129" t="str">
        <f t="shared" si="21"/>
        <v>B-O-T-V</v>
      </c>
      <c r="E25" s="130" t="str">
        <f t="shared" si="2"/>
        <v>B</v>
      </c>
      <c r="F25" s="130" t="str">
        <f t="shared" si="3"/>
        <v>Blinde vlek</v>
      </c>
      <c r="G25" s="131">
        <f>SUM(H24:H27)</f>
        <v>46.915795461791724</v>
      </c>
      <c r="H25" s="181">
        <v>0</v>
      </c>
      <c r="I25" s="181">
        <v>0</v>
      </c>
      <c r="J25" s="181">
        <v>0</v>
      </c>
      <c r="K25" s="132">
        <f t="shared" si="4"/>
        <v>0</v>
      </c>
      <c r="L25" s="131">
        <f>SUM(M24:M27)</f>
        <v>-6.3670832557446886</v>
      </c>
      <c r="M25" s="132">
        <f t="shared" si="5"/>
        <v>0</v>
      </c>
      <c r="N25" s="133">
        <f>IF(SUM(J24:J27)&gt;5,SUM(M24:M27)/SUM(J24:J27),"Blinde vlek")</f>
        <v>-0.15702306952167927</v>
      </c>
      <c r="O25" s="134" t="str">
        <f t="shared" si="6"/>
        <v>Blinde vlek</v>
      </c>
      <c r="P25" s="131">
        <f>SUM(Q24:Q27)</f>
        <v>47</v>
      </c>
      <c r="Q25" s="132"/>
      <c r="R25" s="132"/>
      <c r="S25" s="132"/>
      <c r="T25" s="132">
        <v>30</v>
      </c>
      <c r="U25" s="132">
        <f t="shared" si="22"/>
        <v>-30</v>
      </c>
      <c r="V25" s="134" t="str">
        <f t="shared" si="7"/>
        <v>Blinde vlek</v>
      </c>
      <c r="W25" s="132" t="str">
        <f t="shared" si="8"/>
        <v>Blinde vlek</v>
      </c>
      <c r="X25" s="131">
        <f>SUM(U24:U27)</f>
        <v>-43</v>
      </c>
      <c r="Y25" s="132" t="str">
        <f t="shared" si="9"/>
        <v>A</v>
      </c>
      <c r="Z25" s="94" t="s">
        <v>34</v>
      </c>
      <c r="AA25" s="95" t="str">
        <f t="shared" si="10"/>
        <v>Oostende</v>
      </c>
      <c r="AB25" s="96">
        <v>1</v>
      </c>
      <c r="AC25" s="91">
        <f t="shared" si="11"/>
        <v>2</v>
      </c>
      <c r="AD25" s="91">
        <f t="shared" si="12"/>
        <v>1</v>
      </c>
      <c r="AE25" s="91">
        <f t="shared" si="13"/>
        <v>2</v>
      </c>
      <c r="AF25" s="91">
        <f t="shared" si="14"/>
        <v>2</v>
      </c>
      <c r="AG25" s="92">
        <f t="shared" si="15"/>
        <v>-30</v>
      </c>
      <c r="AH25" s="92">
        <f t="shared" si="16"/>
        <v>-29</v>
      </c>
      <c r="AI25" s="92">
        <f t="shared" si="17"/>
        <v>30</v>
      </c>
      <c r="AJ25" s="93">
        <f t="shared" si="18"/>
        <v>-1</v>
      </c>
      <c r="AK25" s="162">
        <f t="shared" si="26"/>
        <v>1</v>
      </c>
      <c r="AL25" s="154">
        <f t="shared" si="23"/>
        <v>7</v>
      </c>
      <c r="AM25" s="155">
        <f t="shared" si="20"/>
        <v>7</v>
      </c>
      <c r="AN25" s="155" t="str">
        <f t="shared" si="24"/>
        <v>A</v>
      </c>
    </row>
    <row r="26" spans="1:40" x14ac:dyDescent="0.3">
      <c r="A26" s="127" t="s">
        <v>34</v>
      </c>
      <c r="B26" s="179" t="s">
        <v>146</v>
      </c>
      <c r="C26" s="180">
        <v>42</v>
      </c>
      <c r="D26" s="129" t="str">
        <f t="shared" si="21"/>
        <v>B-O-T-V</v>
      </c>
      <c r="E26" s="130" t="str">
        <f t="shared" si="2"/>
        <v>B</v>
      </c>
      <c r="F26" s="130" t="str">
        <f t="shared" si="3"/>
        <v>Blinde vlek</v>
      </c>
      <c r="G26" s="131">
        <f>SUM(H24:H27)</f>
        <v>46.915795461791724</v>
      </c>
      <c r="H26" s="181">
        <v>0</v>
      </c>
      <c r="I26" s="181">
        <v>0</v>
      </c>
      <c r="J26" s="181">
        <v>0</v>
      </c>
      <c r="K26" s="132">
        <f t="shared" si="4"/>
        <v>0</v>
      </c>
      <c r="L26" s="131">
        <f>SUM(M24:M27)</f>
        <v>-6.3670832557446886</v>
      </c>
      <c r="M26" s="132">
        <f t="shared" si="5"/>
        <v>0</v>
      </c>
      <c r="N26" s="133">
        <f>IF(SUM(J24:J27)&gt;5,SUM(M24:M27)/SUM(J24:J27),"Blinde vlek")</f>
        <v>-0.15702306952167927</v>
      </c>
      <c r="O26" s="134" t="str">
        <f t="shared" si="6"/>
        <v>Blinde vlek</v>
      </c>
      <c r="P26" s="131">
        <f>SUM(Q24:Q27)</f>
        <v>47</v>
      </c>
      <c r="Q26" s="132"/>
      <c r="R26" s="132"/>
      <c r="S26" s="132"/>
      <c r="T26" s="132">
        <v>9</v>
      </c>
      <c r="U26" s="132">
        <f t="shared" si="22"/>
        <v>-9</v>
      </c>
      <c r="V26" s="134" t="str">
        <f t="shared" si="7"/>
        <v>Blinde vlek</v>
      </c>
      <c r="W26" s="132" t="str">
        <f t="shared" si="8"/>
        <v>Blinde vlek</v>
      </c>
      <c r="X26" s="131">
        <f>SUM(U24:U27)</f>
        <v>-43</v>
      </c>
      <c r="Y26" s="132" t="str">
        <f t="shared" si="9"/>
        <v>A</v>
      </c>
      <c r="Z26" s="94" t="s">
        <v>34</v>
      </c>
      <c r="AA26" s="95" t="str">
        <f t="shared" si="10"/>
        <v>Torhout</v>
      </c>
      <c r="AB26" s="96">
        <v>1</v>
      </c>
      <c r="AC26" s="91">
        <f t="shared" si="11"/>
        <v>2</v>
      </c>
      <c r="AD26" s="91">
        <f t="shared" si="12"/>
        <v>1</v>
      </c>
      <c r="AE26" s="91">
        <f t="shared" si="13"/>
        <v>2</v>
      </c>
      <c r="AF26" s="91">
        <f t="shared" si="14"/>
        <v>2</v>
      </c>
      <c r="AG26" s="92">
        <f t="shared" si="15"/>
        <v>-9</v>
      </c>
      <c r="AH26" s="92">
        <f t="shared" si="16"/>
        <v>-8</v>
      </c>
      <c r="AI26" s="92">
        <f t="shared" si="17"/>
        <v>9</v>
      </c>
      <c r="AJ26" s="93">
        <f t="shared" si="18"/>
        <v>-1</v>
      </c>
      <c r="AK26" s="162">
        <f t="shared" si="26"/>
        <v>1</v>
      </c>
      <c r="AL26" s="154">
        <f t="shared" si="23"/>
        <v>7</v>
      </c>
      <c r="AM26" s="155">
        <f t="shared" si="20"/>
        <v>7</v>
      </c>
      <c r="AN26" s="155" t="str">
        <f t="shared" si="24"/>
        <v>A</v>
      </c>
    </row>
    <row r="27" spans="1:40" x14ac:dyDescent="0.3">
      <c r="A27" s="127" t="s">
        <v>34</v>
      </c>
      <c r="B27" s="179" t="s">
        <v>147</v>
      </c>
      <c r="C27" s="180">
        <v>43</v>
      </c>
      <c r="D27" s="129" t="str">
        <f t="shared" si="21"/>
        <v>B-O-T-V</v>
      </c>
      <c r="E27" s="130" t="str">
        <f t="shared" si="2"/>
        <v>B</v>
      </c>
      <c r="F27" s="130" t="str">
        <f t="shared" si="3"/>
        <v>Blinde vlek</v>
      </c>
      <c r="G27" s="131">
        <f>SUM(H24:H27)</f>
        <v>46.915795461791724</v>
      </c>
      <c r="H27" s="181">
        <v>0</v>
      </c>
      <c r="I27" s="181">
        <v>0</v>
      </c>
      <c r="J27" s="181">
        <v>0</v>
      </c>
      <c r="K27" s="132">
        <f t="shared" si="4"/>
        <v>0</v>
      </c>
      <c r="L27" s="131">
        <f>SUM(M24:M27)</f>
        <v>-6.3670832557446886</v>
      </c>
      <c r="M27" s="132">
        <f t="shared" si="5"/>
        <v>0</v>
      </c>
      <c r="N27" s="133">
        <f>IF(SUM(J24:J27)&gt;5,SUM(M24:M27)/SUM(J24:J27),"Blinde vlek")</f>
        <v>-0.15702306952167927</v>
      </c>
      <c r="O27" s="134" t="str">
        <f t="shared" si="6"/>
        <v>Blinde vlek</v>
      </c>
      <c r="P27" s="131">
        <f>SUM(Q24:Q27)</f>
        <v>47</v>
      </c>
      <c r="Q27" s="132"/>
      <c r="R27" s="132"/>
      <c r="S27" s="132"/>
      <c r="T27" s="132">
        <v>12</v>
      </c>
      <c r="U27" s="132">
        <f t="shared" si="22"/>
        <v>-12</v>
      </c>
      <c r="V27" s="134" t="str">
        <f t="shared" si="7"/>
        <v>Blinde vlek</v>
      </c>
      <c r="W27" s="132" t="str">
        <f t="shared" si="8"/>
        <v>Blinde vlek</v>
      </c>
      <c r="X27" s="131">
        <f>SUM(U24:U27)</f>
        <v>-43</v>
      </c>
      <c r="Y27" s="132" t="str">
        <f t="shared" si="9"/>
        <v>A</v>
      </c>
      <c r="Z27" s="94" t="s">
        <v>34</v>
      </c>
      <c r="AA27" s="95" t="str">
        <f t="shared" si="10"/>
        <v>Veurne</v>
      </c>
      <c r="AB27" s="96">
        <v>1</v>
      </c>
      <c r="AC27" s="91">
        <f t="shared" si="11"/>
        <v>2</v>
      </c>
      <c r="AD27" s="91">
        <f t="shared" si="12"/>
        <v>1</v>
      </c>
      <c r="AE27" s="91">
        <f t="shared" si="13"/>
        <v>2</v>
      </c>
      <c r="AF27" s="91">
        <f t="shared" si="14"/>
        <v>2</v>
      </c>
      <c r="AG27" s="92">
        <f t="shared" si="15"/>
        <v>-12</v>
      </c>
      <c r="AH27" s="92">
        <f t="shared" si="16"/>
        <v>-11</v>
      </c>
      <c r="AI27" s="92">
        <f>R27+T27</f>
        <v>12</v>
      </c>
      <c r="AJ27" s="93">
        <f t="shared" si="18"/>
        <v>-1</v>
      </c>
      <c r="AK27" s="162">
        <f t="shared" si="26"/>
        <v>1</v>
      </c>
      <c r="AL27" s="154">
        <f t="shared" si="23"/>
        <v>7</v>
      </c>
      <c r="AM27" s="155">
        <f t="shared" si="20"/>
        <v>7</v>
      </c>
      <c r="AN27" s="155" t="str">
        <f t="shared" si="24"/>
        <v>A</v>
      </c>
    </row>
    <row r="28" spans="1:40" x14ac:dyDescent="0.3">
      <c r="A28" s="136" t="s">
        <v>35</v>
      </c>
      <c r="B28" s="179" t="s">
        <v>144</v>
      </c>
      <c r="C28" s="180">
        <v>37</v>
      </c>
      <c r="D28" s="129" t="str">
        <f t="shared" si="21"/>
        <v>B-O-T-V</v>
      </c>
      <c r="E28" s="130" t="str">
        <f t="shared" si="2"/>
        <v>B</v>
      </c>
      <c r="F28" s="130" t="str">
        <f t="shared" si="3"/>
        <v>B</v>
      </c>
      <c r="G28" s="131">
        <f>SUM(H28:H31)</f>
        <v>40.92000568870214</v>
      </c>
      <c r="H28" s="181">
        <v>40.92000568870214</v>
      </c>
      <c r="I28" s="181">
        <v>43.26454741379311</v>
      </c>
      <c r="J28" s="181">
        <v>36.774865301724141</v>
      </c>
      <c r="K28" s="132">
        <f>I28-H28</f>
        <v>2.3445417250909699</v>
      </c>
      <c r="L28" s="131">
        <f>SUM(M28:M31)</f>
        <v>-4.1451403869779995</v>
      </c>
      <c r="M28" s="132">
        <f t="shared" si="5"/>
        <v>-4.1451403869779995</v>
      </c>
      <c r="N28" s="133">
        <f>IF(SUM(J28:J31)&gt;5,SUM(M28:M31)/SUM(J28:J31),"Blinde vlek")</f>
        <v>-0.11271667082853082</v>
      </c>
      <c r="O28" s="134">
        <f t="shared" si="6"/>
        <v>-0.11271667082853082</v>
      </c>
      <c r="P28" s="131">
        <f>SUM(Q28:Q31)</f>
        <v>41</v>
      </c>
      <c r="Q28" s="132">
        <v>41</v>
      </c>
      <c r="R28" s="132">
        <v>13</v>
      </c>
      <c r="S28" s="132">
        <v>28</v>
      </c>
      <c r="T28" s="132"/>
      <c r="U28" s="132">
        <f t="shared" si="22"/>
        <v>28</v>
      </c>
      <c r="V28" s="134">
        <f t="shared" si="7"/>
        <v>0.68292682926829273</v>
      </c>
      <c r="W28" s="132" t="str">
        <f t="shared" si="8"/>
        <v>C</v>
      </c>
      <c r="X28" s="131">
        <f>SUM(U28:U31)</f>
        <v>18</v>
      </c>
      <c r="Y28" s="132" t="str">
        <f t="shared" si="9"/>
        <v>C</v>
      </c>
      <c r="Z28" s="98" t="s">
        <v>35</v>
      </c>
      <c r="AA28" s="95" t="str">
        <f t="shared" si="10"/>
        <v>Brugge</v>
      </c>
      <c r="AB28" s="96">
        <v>1</v>
      </c>
      <c r="AC28" s="91">
        <f t="shared" si="11"/>
        <v>1</v>
      </c>
      <c r="AD28" s="91">
        <f t="shared" si="12"/>
        <v>1</v>
      </c>
      <c r="AE28" s="91">
        <f t="shared" si="13"/>
        <v>0</v>
      </c>
      <c r="AF28" s="91">
        <f t="shared" si="14"/>
        <v>0</v>
      </c>
      <c r="AG28" s="201">
        <f>L28+X28</f>
        <v>13.854859613022001</v>
      </c>
      <c r="AH28" s="201">
        <f>SUM(AB28:AB31)+AG28</f>
        <v>17.854859613022001</v>
      </c>
      <c r="AI28" s="201">
        <f>SUM(R28:R31,T28:T31)</f>
        <v>23</v>
      </c>
      <c r="AJ28" s="227">
        <f>AG28/AI28</f>
        <v>0.60238520056617395</v>
      </c>
      <c r="AK28" s="230">
        <f>IF(Y28= "Blinde vlek",IF(SUM(AB28:AB31)&lt;-X28,SUM(AB28:AB31),-X28),IF(L28&gt;0,0,IF(L28&lt;-SUM(AB28:AB31),SUM(AB28:AB31),-L28)))</f>
        <v>4</v>
      </c>
      <c r="AL28" s="223">
        <f>AK28*$AQ$10*(AD28+AF28)</f>
        <v>8</v>
      </c>
      <c r="AM28" s="217">
        <f>IF(AK28&gt;0,AL28/SUM(AB28:AB31),0)</f>
        <v>2</v>
      </c>
      <c r="AN28" s="217" t="str">
        <f>IF(AM28&gt;=$AQ$5,$AQ$4,IF(AM28&gt;=$AR$5,$AR$4,IF(AM28&gt;=$AS$5,$AS$4,$AT$4)))</f>
        <v>C</v>
      </c>
    </row>
    <row r="29" spans="1:40" x14ac:dyDescent="0.3">
      <c r="A29" s="136" t="s">
        <v>35</v>
      </c>
      <c r="B29" s="179" t="s">
        <v>145</v>
      </c>
      <c r="C29" s="180">
        <v>40</v>
      </c>
      <c r="D29" s="129" t="str">
        <f t="shared" si="21"/>
        <v>B-O-T-V</v>
      </c>
      <c r="E29" s="130" t="str">
        <f t="shared" si="2"/>
        <v>B</v>
      </c>
      <c r="F29" s="130" t="str">
        <f t="shared" si="3"/>
        <v>Blinde vlek</v>
      </c>
      <c r="G29" s="131">
        <f>SUM(H28:H31)</f>
        <v>40.92000568870214</v>
      </c>
      <c r="H29" s="181">
        <v>0</v>
      </c>
      <c r="I29" s="181">
        <v>0</v>
      </c>
      <c r="J29" s="181">
        <v>0</v>
      </c>
      <c r="K29" s="132">
        <f t="shared" ref="K29:K35" si="27">I29-H29</f>
        <v>0</v>
      </c>
      <c r="L29" s="131">
        <f>SUM(M28:M31)</f>
        <v>-4.1451403869779995</v>
      </c>
      <c r="M29" s="132">
        <f t="shared" si="5"/>
        <v>0</v>
      </c>
      <c r="N29" s="133">
        <f>IF(SUM(J28:J31)&gt;5,SUM(M28:M31)/SUM(J28:J31),"Blinde vlek")</f>
        <v>-0.11271667082853082</v>
      </c>
      <c r="O29" s="134" t="str">
        <f t="shared" si="6"/>
        <v>Blinde vlek</v>
      </c>
      <c r="P29" s="131">
        <f>SUM(Q28:Q31)</f>
        <v>41</v>
      </c>
      <c r="Q29" s="132"/>
      <c r="R29" s="132"/>
      <c r="S29" s="132"/>
      <c r="T29" s="132">
        <v>6</v>
      </c>
      <c r="U29" s="132">
        <f t="shared" si="22"/>
        <v>-6</v>
      </c>
      <c r="V29" s="134" t="str">
        <f t="shared" si="7"/>
        <v>Blinde vlek</v>
      </c>
      <c r="W29" s="132" t="str">
        <f t="shared" si="8"/>
        <v>Blinde vlek</v>
      </c>
      <c r="X29" s="131">
        <f>SUM(U28:U31)</f>
        <v>18</v>
      </c>
      <c r="Y29" s="132" t="str">
        <f t="shared" si="9"/>
        <v>C</v>
      </c>
      <c r="Z29" s="98" t="s">
        <v>35</v>
      </c>
      <c r="AA29" s="95" t="str">
        <f t="shared" si="10"/>
        <v>Oostende</v>
      </c>
      <c r="AB29" s="96">
        <v>1</v>
      </c>
      <c r="AC29" s="91">
        <f t="shared" si="11"/>
        <v>2</v>
      </c>
      <c r="AD29" s="91">
        <f t="shared" si="12"/>
        <v>1</v>
      </c>
      <c r="AE29" s="91">
        <f t="shared" si="13"/>
        <v>2</v>
      </c>
      <c r="AF29" s="91">
        <f t="shared" si="14"/>
        <v>0</v>
      </c>
      <c r="AG29" s="202"/>
      <c r="AH29" s="202"/>
      <c r="AI29" s="202"/>
      <c r="AJ29" s="228"/>
      <c r="AK29" s="230"/>
      <c r="AL29" s="224"/>
      <c r="AM29" s="218"/>
      <c r="AN29" s="218"/>
    </row>
    <row r="30" spans="1:40" x14ac:dyDescent="0.3">
      <c r="A30" s="136" t="s">
        <v>35</v>
      </c>
      <c r="B30" s="179" t="s">
        <v>146</v>
      </c>
      <c r="C30" s="180">
        <v>42</v>
      </c>
      <c r="D30" s="129" t="str">
        <f t="shared" si="21"/>
        <v>B-O-T-V</v>
      </c>
      <c r="E30" s="130" t="str">
        <f>IF(G30&gt;5,IF(N30&lt;$N$44,"A",IF(N30&gt;$N$46,"C","B")),"Blinde vlek")</f>
        <v>B</v>
      </c>
      <c r="F30" s="130" t="str">
        <f t="shared" si="3"/>
        <v>Blinde vlek</v>
      </c>
      <c r="G30" s="131">
        <f>SUM(H28:H31)</f>
        <v>40.92000568870214</v>
      </c>
      <c r="H30" s="181">
        <v>0</v>
      </c>
      <c r="I30" s="181">
        <v>0</v>
      </c>
      <c r="J30" s="181">
        <v>0</v>
      </c>
      <c r="K30" s="132">
        <f t="shared" si="27"/>
        <v>0</v>
      </c>
      <c r="L30" s="131">
        <f>SUM(M28:M31)</f>
        <v>-4.1451403869779995</v>
      </c>
      <c r="M30" s="132">
        <f t="shared" si="5"/>
        <v>0</v>
      </c>
      <c r="N30" s="133">
        <f>IF(SUM(J28:J31)&gt;5,SUM(M28:M31)/SUM(J28:J31),"Blinde vlek")</f>
        <v>-0.11271667082853082</v>
      </c>
      <c r="O30" s="134" t="str">
        <f t="shared" si="6"/>
        <v>Blinde vlek</v>
      </c>
      <c r="P30" s="131">
        <f>SUM(Q28:Q31)</f>
        <v>41</v>
      </c>
      <c r="Q30" s="132"/>
      <c r="R30" s="132"/>
      <c r="S30" s="132"/>
      <c r="T30" s="132">
        <v>4</v>
      </c>
      <c r="U30" s="132">
        <f t="shared" si="22"/>
        <v>-4</v>
      </c>
      <c r="V30" s="134" t="str">
        <f t="shared" si="7"/>
        <v>Blinde vlek</v>
      </c>
      <c r="W30" s="132" t="str">
        <f t="shared" si="8"/>
        <v>Blinde vlek</v>
      </c>
      <c r="X30" s="131">
        <f>SUM(U28:U31)</f>
        <v>18</v>
      </c>
      <c r="Y30" s="132" t="str">
        <f t="shared" si="9"/>
        <v>C</v>
      </c>
      <c r="Z30" s="98" t="s">
        <v>35</v>
      </c>
      <c r="AA30" s="95" t="str">
        <f t="shared" si="10"/>
        <v>Torhout</v>
      </c>
      <c r="AB30" s="96">
        <v>1</v>
      </c>
      <c r="AC30" s="91">
        <f t="shared" si="11"/>
        <v>2</v>
      </c>
      <c r="AD30" s="91">
        <f t="shared" si="12"/>
        <v>1</v>
      </c>
      <c r="AE30" s="91">
        <f t="shared" si="13"/>
        <v>2</v>
      </c>
      <c r="AF30" s="91">
        <f t="shared" si="14"/>
        <v>0</v>
      </c>
      <c r="AG30" s="202"/>
      <c r="AH30" s="202"/>
      <c r="AI30" s="202"/>
      <c r="AJ30" s="228"/>
      <c r="AK30" s="230"/>
      <c r="AL30" s="224"/>
      <c r="AM30" s="218"/>
      <c r="AN30" s="218"/>
    </row>
    <row r="31" spans="1:40" x14ac:dyDescent="0.3">
      <c r="A31" s="136" t="s">
        <v>35</v>
      </c>
      <c r="B31" s="179" t="s">
        <v>147</v>
      </c>
      <c r="C31" s="180">
        <v>43</v>
      </c>
      <c r="D31" s="129" t="str">
        <f t="shared" si="21"/>
        <v>B-O-T-V</v>
      </c>
      <c r="E31" s="130" t="str">
        <f t="shared" si="2"/>
        <v>B</v>
      </c>
      <c r="F31" s="130" t="str">
        <f t="shared" si="3"/>
        <v>Blinde vlek</v>
      </c>
      <c r="G31" s="131">
        <f>SUM(H28:H31)</f>
        <v>40.92000568870214</v>
      </c>
      <c r="H31" s="181">
        <v>0</v>
      </c>
      <c r="I31" s="181">
        <v>0</v>
      </c>
      <c r="J31" s="181">
        <v>0</v>
      </c>
      <c r="K31" s="132">
        <f t="shared" si="27"/>
        <v>0</v>
      </c>
      <c r="L31" s="131">
        <f>SUM(M28:M31)</f>
        <v>-4.1451403869779995</v>
      </c>
      <c r="M31" s="132">
        <f t="shared" si="5"/>
        <v>0</v>
      </c>
      <c r="N31" s="133">
        <f>IF(SUM(J28:J31)&gt;5,SUM(M28:M31)/SUM(J28:J31),"Blinde vlek")</f>
        <v>-0.11271667082853082</v>
      </c>
      <c r="O31" s="134" t="str">
        <f t="shared" si="6"/>
        <v>Blinde vlek</v>
      </c>
      <c r="P31" s="131">
        <f>SUM(Q28:Q31)</f>
        <v>41</v>
      </c>
      <c r="Q31" s="132"/>
      <c r="R31" s="132"/>
      <c r="S31" s="132"/>
      <c r="T31" s="132">
        <v>0</v>
      </c>
      <c r="U31" s="132">
        <f t="shared" si="22"/>
        <v>0</v>
      </c>
      <c r="V31" s="134" t="str">
        <f t="shared" si="7"/>
        <v>Blinde vlek</v>
      </c>
      <c r="W31" s="132" t="str">
        <f t="shared" si="8"/>
        <v>Blinde vlek</v>
      </c>
      <c r="X31" s="131">
        <f>SUM(U28:U31)</f>
        <v>18</v>
      </c>
      <c r="Y31" s="132" t="str">
        <f t="shared" si="9"/>
        <v>C</v>
      </c>
      <c r="Z31" s="98" t="s">
        <v>35</v>
      </c>
      <c r="AA31" s="95" t="str">
        <f t="shared" si="10"/>
        <v>Veurne</v>
      </c>
      <c r="AB31" s="96">
        <v>1</v>
      </c>
      <c r="AC31" s="91">
        <f t="shared" si="11"/>
        <v>2</v>
      </c>
      <c r="AD31" s="91">
        <f t="shared" si="12"/>
        <v>1</v>
      </c>
      <c r="AE31" s="91">
        <f t="shared" si="13"/>
        <v>2</v>
      </c>
      <c r="AF31" s="91">
        <f t="shared" si="14"/>
        <v>0</v>
      </c>
      <c r="AG31" s="203"/>
      <c r="AH31" s="203"/>
      <c r="AI31" s="203"/>
      <c r="AJ31" s="229"/>
      <c r="AK31" s="230"/>
      <c r="AL31" s="225"/>
      <c r="AM31" s="219"/>
      <c r="AN31" s="219"/>
    </row>
    <row r="32" spans="1:40" x14ac:dyDescent="0.3">
      <c r="A32" s="137" t="s">
        <v>36</v>
      </c>
      <c r="B32" s="179" t="s">
        <v>144</v>
      </c>
      <c r="C32" s="180">
        <v>37</v>
      </c>
      <c r="D32" s="129" t="str">
        <f t="shared" si="21"/>
        <v>B-O-T-V</v>
      </c>
      <c r="E32" s="130" t="str">
        <f t="shared" si="2"/>
        <v>B</v>
      </c>
      <c r="F32" s="130" t="str">
        <f t="shared" si="3"/>
        <v>B</v>
      </c>
      <c r="G32" s="131">
        <f>SUM(H32:H35)</f>
        <v>111.7347557046439</v>
      </c>
      <c r="H32" s="181">
        <v>111.7347557046439</v>
      </c>
      <c r="I32" s="181">
        <v>144.97074670385396</v>
      </c>
      <c r="J32" s="181">
        <v>123.22513469827587</v>
      </c>
      <c r="K32" s="132">
        <f t="shared" si="27"/>
        <v>33.23599099921006</v>
      </c>
      <c r="L32" s="131">
        <f>SUM(M32:M35)</f>
        <v>11.490378993631964</v>
      </c>
      <c r="M32" s="132">
        <f t="shared" si="5"/>
        <v>11.490378993631964</v>
      </c>
      <c r="N32" s="133">
        <f>IF(SUM(J32:J35)&gt;5,SUM(M32:M35)/SUM(J32:J35),"Blinde vlek")</f>
        <v>9.3247039427198405E-2</v>
      </c>
      <c r="O32" s="134">
        <f t="shared" si="6"/>
        <v>9.3247039427198405E-2</v>
      </c>
      <c r="P32" s="131">
        <f>SUM(Q32:Q35)</f>
        <v>112</v>
      </c>
      <c r="Q32" s="132">
        <v>112</v>
      </c>
      <c r="R32" s="132">
        <v>56</v>
      </c>
      <c r="S32" s="132">
        <v>56</v>
      </c>
      <c r="T32" s="132"/>
      <c r="U32" s="132">
        <f t="shared" si="22"/>
        <v>56</v>
      </c>
      <c r="V32" s="134">
        <f t="shared" si="7"/>
        <v>0.5</v>
      </c>
      <c r="W32" s="132" t="str">
        <f t="shared" si="8"/>
        <v>C</v>
      </c>
      <c r="X32" s="131">
        <f>SUM(U32:U35)</f>
        <v>24</v>
      </c>
      <c r="Y32" s="132" t="str">
        <f t="shared" si="9"/>
        <v>C</v>
      </c>
      <c r="Z32" s="99" t="s">
        <v>36</v>
      </c>
      <c r="AA32" s="95" t="str">
        <f t="shared" si="10"/>
        <v>Brugge</v>
      </c>
      <c r="AB32" s="96">
        <v>1</v>
      </c>
      <c r="AC32" s="91">
        <f t="shared" si="11"/>
        <v>1</v>
      </c>
      <c r="AD32" s="91">
        <f t="shared" si="12"/>
        <v>1</v>
      </c>
      <c r="AE32" s="91">
        <f t="shared" si="13"/>
        <v>0</v>
      </c>
      <c r="AF32" s="91">
        <f t="shared" si="14"/>
        <v>0</v>
      </c>
      <c r="AG32" s="220">
        <f>L32+X32</f>
        <v>35.490378993631964</v>
      </c>
      <c r="AH32" s="220">
        <f>SUM(AB32:AB35)+AG32</f>
        <v>39.490378993631964</v>
      </c>
      <c r="AI32" s="220">
        <f>SUM(R32:R35,T32:T35)</f>
        <v>88</v>
      </c>
      <c r="AJ32" s="221">
        <f>AG32/AI32</f>
        <v>0.40329976129127232</v>
      </c>
      <c r="AK32" s="222">
        <f>IF(Y32= "Blinde vlek",IF(SUM(AB32:AB35)&lt;-X32,SUM(AB32:AB35),-X32),IF(L32&gt;0,0,IF(L32&lt;-SUM(AB32:AB35),SUM(AB32:AB35),-L32)))</f>
        <v>0</v>
      </c>
      <c r="AL32" s="223">
        <f>AK32*$AQ$10*(AD32+AF32)</f>
        <v>0</v>
      </c>
      <c r="AM32" s="226">
        <f>IF(AK32&gt;0,AL32/SUM(AB32:AB35),0)</f>
        <v>0</v>
      </c>
      <c r="AN32" s="217" t="str">
        <f>IF(AM32&gt;=$AQ$5,$AQ$4,IF(AM32&gt;=$AR$5,$AR$4,IF(AM32&gt;=$AS$5,$AS$4,$AT$4)))</f>
        <v>D</v>
      </c>
    </row>
    <row r="33" spans="1:40" x14ac:dyDescent="0.3">
      <c r="A33" s="137" t="s">
        <v>36</v>
      </c>
      <c r="B33" s="179" t="s">
        <v>145</v>
      </c>
      <c r="C33" s="180">
        <v>40</v>
      </c>
      <c r="D33" s="129" t="str">
        <f t="shared" si="21"/>
        <v>B-O-T-V</v>
      </c>
      <c r="E33" s="130" t="str">
        <f t="shared" si="2"/>
        <v>B</v>
      </c>
      <c r="F33" s="130" t="str">
        <f t="shared" si="3"/>
        <v>Blinde vlek</v>
      </c>
      <c r="G33" s="131">
        <f>SUM(H32:H35)</f>
        <v>111.7347557046439</v>
      </c>
      <c r="H33" s="181">
        <v>0</v>
      </c>
      <c r="I33" s="181">
        <v>0</v>
      </c>
      <c r="J33" s="181">
        <v>0</v>
      </c>
      <c r="K33" s="132">
        <f t="shared" si="27"/>
        <v>0</v>
      </c>
      <c r="L33" s="131">
        <f>SUM(M32:M35)</f>
        <v>11.490378993631964</v>
      </c>
      <c r="M33" s="132">
        <f t="shared" si="5"/>
        <v>0</v>
      </c>
      <c r="N33" s="133">
        <f>IF(SUM(J32:J35)&gt;5,SUM(M32:M35)/SUM(J32:J35),"Blinde vlek")</f>
        <v>9.3247039427198405E-2</v>
      </c>
      <c r="O33" s="134" t="str">
        <f t="shared" si="6"/>
        <v>Blinde vlek</v>
      </c>
      <c r="P33" s="131">
        <f>SUM(Q32:Q35)</f>
        <v>112</v>
      </c>
      <c r="Q33" s="132"/>
      <c r="R33" s="132"/>
      <c r="S33" s="132"/>
      <c r="T33" s="132">
        <v>17</v>
      </c>
      <c r="U33" s="132">
        <f t="shared" si="22"/>
        <v>-17</v>
      </c>
      <c r="V33" s="134" t="str">
        <f t="shared" si="7"/>
        <v>Blinde vlek</v>
      </c>
      <c r="W33" s="132" t="str">
        <f t="shared" si="8"/>
        <v>Blinde vlek</v>
      </c>
      <c r="X33" s="131">
        <f>SUM(U32:U35)</f>
        <v>24</v>
      </c>
      <c r="Y33" s="132" t="str">
        <f t="shared" si="9"/>
        <v>C</v>
      </c>
      <c r="Z33" s="99" t="s">
        <v>36</v>
      </c>
      <c r="AA33" s="95" t="str">
        <f t="shared" si="10"/>
        <v>Oostende</v>
      </c>
      <c r="AB33" s="96">
        <v>1</v>
      </c>
      <c r="AC33" s="91">
        <f t="shared" si="11"/>
        <v>2</v>
      </c>
      <c r="AD33" s="91">
        <f t="shared" si="12"/>
        <v>1</v>
      </c>
      <c r="AE33" s="91">
        <f t="shared" si="13"/>
        <v>2</v>
      </c>
      <c r="AF33" s="91">
        <f t="shared" si="14"/>
        <v>0</v>
      </c>
      <c r="AG33" s="220"/>
      <c r="AH33" s="220"/>
      <c r="AI33" s="220"/>
      <c r="AJ33" s="221"/>
      <c r="AK33" s="222"/>
      <c r="AL33" s="224"/>
      <c r="AM33" s="226"/>
      <c r="AN33" s="218"/>
    </row>
    <row r="34" spans="1:40" x14ac:dyDescent="0.3">
      <c r="A34" s="137" t="s">
        <v>36</v>
      </c>
      <c r="B34" s="179" t="s">
        <v>146</v>
      </c>
      <c r="C34" s="180">
        <v>42</v>
      </c>
      <c r="D34" s="129" t="str">
        <f t="shared" si="21"/>
        <v>B-O-T-V</v>
      </c>
      <c r="E34" s="130" t="str">
        <f t="shared" si="2"/>
        <v>B</v>
      </c>
      <c r="F34" s="130" t="str">
        <f t="shared" si="3"/>
        <v>Blinde vlek</v>
      </c>
      <c r="G34" s="131">
        <f>SUM(H32:H35)</f>
        <v>111.7347557046439</v>
      </c>
      <c r="H34" s="181">
        <v>0</v>
      </c>
      <c r="I34" s="181">
        <v>0</v>
      </c>
      <c r="J34" s="181">
        <v>0</v>
      </c>
      <c r="K34" s="132">
        <f t="shared" si="27"/>
        <v>0</v>
      </c>
      <c r="L34" s="131">
        <f>SUM(M32:M35)</f>
        <v>11.490378993631964</v>
      </c>
      <c r="M34" s="132">
        <f t="shared" si="5"/>
        <v>0</v>
      </c>
      <c r="N34" s="133">
        <f>IF(SUM(J32:J35)&gt;5,SUM(M32:M35)/SUM(J32:J35),"Blinde vlek")</f>
        <v>9.3247039427198405E-2</v>
      </c>
      <c r="O34" s="134" t="str">
        <f t="shared" si="6"/>
        <v>Blinde vlek</v>
      </c>
      <c r="P34" s="131">
        <f>SUM(Q32:Q35)</f>
        <v>112</v>
      </c>
      <c r="Q34" s="132"/>
      <c r="R34" s="132"/>
      <c r="S34" s="132"/>
      <c r="T34" s="132">
        <v>7</v>
      </c>
      <c r="U34" s="132">
        <f t="shared" si="22"/>
        <v>-7</v>
      </c>
      <c r="V34" s="134" t="str">
        <f t="shared" si="7"/>
        <v>Blinde vlek</v>
      </c>
      <c r="W34" s="132" t="str">
        <f t="shared" si="8"/>
        <v>Blinde vlek</v>
      </c>
      <c r="X34" s="131">
        <f>SUM(U32:U35)</f>
        <v>24</v>
      </c>
      <c r="Y34" s="132" t="str">
        <f t="shared" si="9"/>
        <v>C</v>
      </c>
      <c r="Z34" s="99" t="s">
        <v>36</v>
      </c>
      <c r="AA34" s="95" t="str">
        <f t="shared" si="10"/>
        <v>Torhout</v>
      </c>
      <c r="AB34" s="96">
        <v>1</v>
      </c>
      <c r="AC34" s="91">
        <f t="shared" si="11"/>
        <v>2</v>
      </c>
      <c r="AD34" s="91">
        <f t="shared" si="12"/>
        <v>1</v>
      </c>
      <c r="AE34" s="91">
        <f t="shared" si="13"/>
        <v>2</v>
      </c>
      <c r="AF34" s="91">
        <f t="shared" si="14"/>
        <v>0</v>
      </c>
      <c r="AG34" s="220"/>
      <c r="AH34" s="220"/>
      <c r="AI34" s="220"/>
      <c r="AJ34" s="221"/>
      <c r="AK34" s="222"/>
      <c r="AL34" s="224"/>
      <c r="AM34" s="226"/>
      <c r="AN34" s="218"/>
    </row>
    <row r="35" spans="1:40" x14ac:dyDescent="0.3">
      <c r="A35" s="137" t="s">
        <v>36</v>
      </c>
      <c r="B35" s="179" t="s">
        <v>147</v>
      </c>
      <c r="C35" s="180">
        <v>43</v>
      </c>
      <c r="D35" s="129" t="str">
        <f t="shared" si="21"/>
        <v>B-O-T-V</v>
      </c>
      <c r="E35" s="130" t="str">
        <f t="shared" si="2"/>
        <v>B</v>
      </c>
      <c r="F35" s="130" t="str">
        <f t="shared" si="3"/>
        <v>Blinde vlek</v>
      </c>
      <c r="G35" s="131">
        <f>SUM(H32:H35)</f>
        <v>111.7347557046439</v>
      </c>
      <c r="H35" s="181">
        <v>0</v>
      </c>
      <c r="I35" s="181">
        <v>0</v>
      </c>
      <c r="J35" s="181">
        <v>0</v>
      </c>
      <c r="K35" s="132">
        <f t="shared" si="27"/>
        <v>0</v>
      </c>
      <c r="L35" s="131">
        <f>SUM(M32:M35)</f>
        <v>11.490378993631964</v>
      </c>
      <c r="M35" s="132">
        <f t="shared" si="5"/>
        <v>0</v>
      </c>
      <c r="N35" s="133">
        <f>IF(SUM(J32:J35)&gt;5,SUM(M32:M35)/SUM(J32:J35),"Blinde vlek")</f>
        <v>9.3247039427198405E-2</v>
      </c>
      <c r="O35" s="134" t="str">
        <f t="shared" si="6"/>
        <v>Blinde vlek</v>
      </c>
      <c r="P35" s="131">
        <f>SUM(Q32:Q35)</f>
        <v>112</v>
      </c>
      <c r="Q35" s="132"/>
      <c r="R35" s="132"/>
      <c r="S35" s="132"/>
      <c r="T35" s="132">
        <v>8</v>
      </c>
      <c r="U35" s="132">
        <f t="shared" si="22"/>
        <v>-8</v>
      </c>
      <c r="V35" s="134" t="str">
        <f t="shared" si="7"/>
        <v>Blinde vlek</v>
      </c>
      <c r="W35" s="132" t="str">
        <f t="shared" si="8"/>
        <v>Blinde vlek</v>
      </c>
      <c r="X35" s="131">
        <f>SUM(U32:U35)</f>
        <v>24</v>
      </c>
      <c r="Y35" s="132" t="str">
        <f t="shared" si="9"/>
        <v>C</v>
      </c>
      <c r="Z35" s="99" t="s">
        <v>36</v>
      </c>
      <c r="AA35" s="95" t="str">
        <f t="shared" si="10"/>
        <v>Veurne</v>
      </c>
      <c r="AB35" s="96">
        <v>1</v>
      </c>
      <c r="AC35" s="91">
        <f t="shared" si="11"/>
        <v>2</v>
      </c>
      <c r="AD35" s="91">
        <f t="shared" si="12"/>
        <v>1</v>
      </c>
      <c r="AE35" s="91">
        <f t="shared" si="13"/>
        <v>2</v>
      </c>
      <c r="AF35" s="91">
        <f t="shared" si="14"/>
        <v>0</v>
      </c>
      <c r="AG35" s="220"/>
      <c r="AH35" s="220"/>
      <c r="AI35" s="220"/>
      <c r="AJ35" s="221"/>
      <c r="AK35" s="222"/>
      <c r="AL35" s="225"/>
      <c r="AM35" s="226"/>
      <c r="AN35" s="219"/>
    </row>
    <row r="36" spans="1:40" x14ac:dyDescent="0.3">
      <c r="AB36" s="102"/>
    </row>
    <row r="37" spans="1:40" x14ac:dyDescent="0.3">
      <c r="AB37" s="102"/>
    </row>
    <row r="38" spans="1:40" x14ac:dyDescent="0.3">
      <c r="AB38" s="102"/>
    </row>
    <row r="39" spans="1:40" hidden="1" x14ac:dyDescent="0.3">
      <c r="AB39" s="102"/>
    </row>
    <row r="40" spans="1:40" hidden="1" x14ac:dyDescent="0.3">
      <c r="AB40" s="102"/>
    </row>
    <row r="41" spans="1:40" hidden="1" x14ac:dyDescent="0.3">
      <c r="AB41" s="102"/>
    </row>
    <row r="42" spans="1:40" ht="43.2" hidden="1" x14ac:dyDescent="0.3">
      <c r="E42" s="110" t="s">
        <v>10</v>
      </c>
      <c r="F42" s="110" t="s">
        <v>38</v>
      </c>
      <c r="G42" s="138" t="s">
        <v>11</v>
      </c>
      <c r="H42" s="138" t="s">
        <v>11</v>
      </c>
      <c r="I42" s="213" t="s">
        <v>49</v>
      </c>
      <c r="J42" s="214"/>
      <c r="K42" s="214"/>
      <c r="L42" s="214"/>
      <c r="M42" s="215"/>
      <c r="N42" s="139" t="s">
        <v>15</v>
      </c>
      <c r="O42" s="139" t="s">
        <v>15</v>
      </c>
      <c r="P42" s="110" t="s">
        <v>75</v>
      </c>
      <c r="Q42" s="111" t="s">
        <v>17</v>
      </c>
      <c r="R42" s="216" t="s">
        <v>22</v>
      </c>
      <c r="S42" s="216"/>
      <c r="T42" s="216"/>
      <c r="U42" s="216"/>
      <c r="V42" s="216"/>
      <c r="W42" s="216"/>
      <c r="X42" s="140" t="s">
        <v>76</v>
      </c>
      <c r="Y42" s="140" t="s">
        <v>74</v>
      </c>
      <c r="AB42" s="102"/>
    </row>
    <row r="43" spans="1:40" hidden="1" x14ac:dyDescent="0.3">
      <c r="E43" s="129" t="s">
        <v>37</v>
      </c>
      <c r="F43" s="129" t="s">
        <v>37</v>
      </c>
      <c r="G43" s="128" t="s">
        <v>48</v>
      </c>
      <c r="H43" s="128" t="s">
        <v>48</v>
      </c>
      <c r="I43" s="205" t="s">
        <v>58</v>
      </c>
      <c r="J43" s="206"/>
      <c r="K43" s="206"/>
      <c r="L43" s="206"/>
      <c r="M43" s="207"/>
      <c r="N43" s="141"/>
      <c r="O43" s="141"/>
      <c r="P43" s="129" t="s">
        <v>37</v>
      </c>
      <c r="Q43" s="128">
        <v>0</v>
      </c>
      <c r="R43" s="208"/>
      <c r="S43" s="208"/>
      <c r="T43" s="208"/>
      <c r="U43" s="208"/>
      <c r="V43" s="208"/>
      <c r="W43" s="208"/>
      <c r="X43" s="142"/>
      <c r="Y43" s="141"/>
      <c r="AB43" s="102"/>
    </row>
    <row r="44" spans="1:40" hidden="1" x14ac:dyDescent="0.3">
      <c r="E44" s="143" t="s">
        <v>11</v>
      </c>
      <c r="F44" s="143" t="s">
        <v>11</v>
      </c>
      <c r="G44" s="128" t="s">
        <v>47</v>
      </c>
      <c r="H44" s="128" t="s">
        <v>47</v>
      </c>
      <c r="I44" s="205" t="s">
        <v>56</v>
      </c>
      <c r="J44" s="206"/>
      <c r="K44" s="206"/>
      <c r="L44" s="206"/>
      <c r="M44" s="207"/>
      <c r="N44" s="144">
        <v>-0.25</v>
      </c>
      <c r="O44" s="144">
        <v>-0.25</v>
      </c>
      <c r="P44" s="143" t="s">
        <v>11</v>
      </c>
      <c r="Q44" s="128" t="s">
        <v>50</v>
      </c>
      <c r="R44" s="208" t="s">
        <v>52</v>
      </c>
      <c r="S44" s="208"/>
      <c r="T44" s="208"/>
      <c r="U44" s="208"/>
      <c r="V44" s="208"/>
      <c r="W44" s="208"/>
      <c r="X44" s="144">
        <v>-0.2</v>
      </c>
      <c r="Y44" s="145">
        <v>-0.2</v>
      </c>
      <c r="AB44" s="102"/>
    </row>
    <row r="45" spans="1:40" hidden="1" x14ac:dyDescent="0.3">
      <c r="E45" s="143" t="s">
        <v>12</v>
      </c>
      <c r="F45" s="143" t="s">
        <v>12</v>
      </c>
      <c r="G45" s="128" t="s">
        <v>47</v>
      </c>
      <c r="H45" s="128" t="s">
        <v>47</v>
      </c>
      <c r="I45" s="205" t="s">
        <v>46</v>
      </c>
      <c r="J45" s="206"/>
      <c r="K45" s="206"/>
      <c r="L45" s="206"/>
      <c r="M45" s="207"/>
      <c r="N45" s="146"/>
      <c r="O45" s="146"/>
      <c r="P45" s="143" t="s">
        <v>12</v>
      </c>
      <c r="Q45" s="128" t="s">
        <v>50</v>
      </c>
      <c r="R45" s="208" t="s">
        <v>53</v>
      </c>
      <c r="S45" s="208"/>
      <c r="T45" s="208"/>
      <c r="U45" s="208"/>
      <c r="V45" s="208"/>
      <c r="W45" s="208"/>
      <c r="X45" s="146"/>
      <c r="Y45" s="128"/>
      <c r="AB45" s="102"/>
    </row>
    <row r="46" spans="1:40" hidden="1" x14ac:dyDescent="0.3">
      <c r="E46" s="143" t="s">
        <v>13</v>
      </c>
      <c r="F46" s="143" t="s">
        <v>13</v>
      </c>
      <c r="G46" s="128" t="s">
        <v>47</v>
      </c>
      <c r="H46" s="128" t="s">
        <v>47</v>
      </c>
      <c r="I46" s="205" t="s">
        <v>57</v>
      </c>
      <c r="J46" s="206"/>
      <c r="K46" s="206"/>
      <c r="L46" s="206"/>
      <c r="M46" s="207"/>
      <c r="N46" s="147">
        <v>0.1</v>
      </c>
      <c r="O46" s="147">
        <v>0.1</v>
      </c>
      <c r="P46" s="143" t="s">
        <v>13</v>
      </c>
      <c r="Q46" s="128" t="s">
        <v>50</v>
      </c>
      <c r="R46" s="208" t="s">
        <v>54</v>
      </c>
      <c r="S46" s="208"/>
      <c r="T46" s="208"/>
      <c r="U46" s="208"/>
      <c r="V46" s="208"/>
      <c r="W46" s="208"/>
      <c r="X46" s="147">
        <v>0.2</v>
      </c>
      <c r="Y46" s="134">
        <v>0.2</v>
      </c>
      <c r="AB46" s="102"/>
    </row>
    <row r="47" spans="1:40" hidden="1" x14ac:dyDescent="0.3">
      <c r="AB47" s="102"/>
    </row>
    <row r="48" spans="1:40" hidden="1" x14ac:dyDescent="0.3">
      <c r="AB48" s="102"/>
    </row>
    <row r="49" spans="28:28" hidden="1" x14ac:dyDescent="0.3">
      <c r="AB49" s="102"/>
    </row>
    <row r="50" spans="28:28" hidden="1" x14ac:dyDescent="0.3">
      <c r="AB50" s="102"/>
    </row>
    <row r="51" spans="28:28" x14ac:dyDescent="0.3">
      <c r="AB51" s="102"/>
    </row>
    <row r="52" spans="28:28" x14ac:dyDescent="0.3">
      <c r="AB52" s="102"/>
    </row>
    <row r="53" spans="28:28" x14ac:dyDescent="0.3">
      <c r="AB53" s="102"/>
    </row>
    <row r="54" spans="28:28" x14ac:dyDescent="0.3">
      <c r="AB54" s="102"/>
    </row>
    <row r="55" spans="28:28" x14ac:dyDescent="0.3">
      <c r="AB55" s="102"/>
    </row>
    <row r="56" spans="28:28" x14ac:dyDescent="0.3">
      <c r="AB56" s="102"/>
    </row>
  </sheetData>
  <sheetProtection algorithmName="SHA-512" hashValue="9C/z4RPGaGKVOx0mT5HXJBfuLM6/BhpKZqB3G0W0iTErFj3LdBjxr3S/9H6xVxyRuoixY78FsUW1yPqWvFbxGg==" saltValue="5YN/LLEOMMzFKvVMkAxfKw==" spinCount="100000" sheet="1" autoFilter="0"/>
  <autoFilter ref="A7:AN35" xr:uid="{A89DC866-1219-465E-9A8A-0369EA654DEA}"/>
  <mergeCells count="33">
    <mergeCell ref="AN28:AN31"/>
    <mergeCell ref="AG32:AG35"/>
    <mergeCell ref="AH32:AH35"/>
    <mergeCell ref="AI32:AI35"/>
    <mergeCell ref="AJ32:AJ35"/>
    <mergeCell ref="AK32:AK35"/>
    <mergeCell ref="AL32:AL35"/>
    <mergeCell ref="AM32:AM35"/>
    <mergeCell ref="AN32:AN35"/>
    <mergeCell ref="AH28:AH31"/>
    <mergeCell ref="AI28:AI31"/>
    <mergeCell ref="AJ28:AJ31"/>
    <mergeCell ref="AK28:AK31"/>
    <mergeCell ref="AL28:AL31"/>
    <mergeCell ref="AM28:AM31"/>
    <mergeCell ref="I46:M46"/>
    <mergeCell ref="R46:W46"/>
    <mergeCell ref="I42:M42"/>
    <mergeCell ref="R42:W42"/>
    <mergeCell ref="I43:M43"/>
    <mergeCell ref="R43:W43"/>
    <mergeCell ref="I44:M44"/>
    <mergeCell ref="R44:W44"/>
    <mergeCell ref="L4:M4"/>
    <mergeCell ref="AG28:AG31"/>
    <mergeCell ref="B1:F1"/>
    <mergeCell ref="I45:M45"/>
    <mergeCell ref="R45:W45"/>
    <mergeCell ref="G3:H3"/>
    <mergeCell ref="L3:M3"/>
    <mergeCell ref="N3:O3"/>
    <mergeCell ref="P3:Y3"/>
    <mergeCell ref="N4:O4"/>
  </mergeCells>
  <conditionalFormatting sqref="N7:O7">
    <cfRule type="colorScale" priority="164">
      <colorScale>
        <cfvo type="min"/>
        <cfvo type="percentile" val="50"/>
        <cfvo type="max"/>
        <color rgb="FFF8696B"/>
        <color rgb="FFFFEB84"/>
        <color rgb="FF63BE7B"/>
      </colorScale>
    </cfRule>
  </conditionalFormatting>
  <conditionalFormatting sqref="O8:O35">
    <cfRule type="colorScale" priority="159">
      <colorScale>
        <cfvo type="min"/>
        <cfvo type="percentile" val="50"/>
        <cfvo type="max"/>
        <color rgb="FFF8696B"/>
        <color rgb="FFFFEB84"/>
        <color rgb="FF63BE7B"/>
      </colorScale>
    </cfRule>
  </conditionalFormatting>
  <conditionalFormatting sqref="N3">
    <cfRule type="colorScale" priority="163">
      <colorScale>
        <cfvo type="min"/>
        <cfvo type="percentile" val="50"/>
        <cfvo type="max"/>
        <color rgb="FFF8696B"/>
        <color rgb="FFFFEB84"/>
        <color rgb="FF63BE7B"/>
      </colorScale>
    </cfRule>
  </conditionalFormatting>
  <conditionalFormatting sqref="I42">
    <cfRule type="colorScale" priority="162">
      <colorScale>
        <cfvo type="min"/>
        <cfvo type="percentile" val="50"/>
        <cfvo type="max"/>
        <color rgb="FFF8696B"/>
        <color rgb="FFFFEB84"/>
        <color rgb="FF63BE7B"/>
      </colorScale>
    </cfRule>
  </conditionalFormatting>
  <conditionalFormatting sqref="O42">
    <cfRule type="colorScale" priority="161">
      <colorScale>
        <cfvo type="min"/>
        <cfvo type="percentile" val="50"/>
        <cfvo type="max"/>
        <color rgb="FFF8696B"/>
        <color rgb="FFFFEB84"/>
        <color rgb="FF63BE7B"/>
      </colorScale>
    </cfRule>
  </conditionalFormatting>
  <conditionalFormatting sqref="R42">
    <cfRule type="colorScale" priority="160">
      <colorScale>
        <cfvo type="min"/>
        <cfvo type="percentile" val="50"/>
        <cfvo type="max"/>
        <color rgb="FFF8696B"/>
        <color rgb="FFFFEB84"/>
        <color rgb="FF63BE7B"/>
      </colorScale>
    </cfRule>
  </conditionalFormatting>
  <conditionalFormatting sqref="AG3">
    <cfRule type="colorScale" priority="158">
      <colorScale>
        <cfvo type="min"/>
        <cfvo type="percentile" val="50"/>
        <cfvo type="max"/>
        <color rgb="FFF8696B"/>
        <color rgb="FFFFEB84"/>
        <color rgb="FF63BE7B"/>
      </colorScale>
    </cfRule>
  </conditionalFormatting>
  <conditionalFormatting sqref="M8:M35">
    <cfRule type="colorScale" priority="165">
      <colorScale>
        <cfvo type="min"/>
        <cfvo type="percentile" val="50"/>
        <cfvo type="max"/>
        <color rgb="FFF8696B"/>
        <color rgb="FFFFEB84"/>
        <color rgb="FF63BE7B"/>
      </colorScale>
    </cfRule>
  </conditionalFormatting>
  <conditionalFormatting sqref="M8:M22">
    <cfRule type="colorScale" priority="166">
      <colorScale>
        <cfvo type="min"/>
        <cfvo type="percentile" val="50"/>
        <cfvo type="max"/>
        <color rgb="FFF8696B"/>
        <color rgb="FFFFEB84"/>
        <color rgb="FF63BE7B"/>
      </colorScale>
    </cfRule>
  </conditionalFormatting>
  <conditionalFormatting sqref="L3">
    <cfRule type="colorScale" priority="167">
      <colorScale>
        <cfvo type="min"/>
        <cfvo type="percentile" val="50"/>
        <cfvo type="max"/>
        <color rgb="FFF8696B"/>
        <color rgb="FFFFEB84"/>
        <color rgb="FF63BE7B"/>
      </colorScale>
    </cfRule>
  </conditionalFormatting>
  <conditionalFormatting sqref="N42">
    <cfRule type="colorScale" priority="151">
      <colorScale>
        <cfvo type="min"/>
        <cfvo type="percentile" val="50"/>
        <cfvo type="max"/>
        <color rgb="FFF8696B"/>
        <color rgb="FFFFEB84"/>
        <color rgb="FF63BE7B"/>
      </colorScale>
    </cfRule>
  </conditionalFormatting>
  <conditionalFormatting sqref="N4">
    <cfRule type="colorScale" priority="122">
      <colorScale>
        <cfvo type="min"/>
        <cfvo type="percentile" val="50"/>
        <cfvo type="max"/>
        <color rgb="FFF8696B"/>
        <color rgb="FFFFEB84"/>
        <color rgb="FF63BE7B"/>
      </colorScale>
    </cfRule>
  </conditionalFormatting>
  <conditionalFormatting sqref="L4">
    <cfRule type="colorScale" priority="168">
      <colorScale>
        <cfvo type="min"/>
        <cfvo type="percentile" val="50"/>
        <cfvo type="max"/>
        <color rgb="FFF8696B"/>
        <color rgb="FFFFEB84"/>
        <color rgb="FF63BE7B"/>
      </colorScale>
    </cfRule>
  </conditionalFormatting>
  <conditionalFormatting sqref="L7:M7">
    <cfRule type="colorScale" priority="169">
      <colorScale>
        <cfvo type="min"/>
        <cfvo type="percentile" val="50"/>
        <cfvo type="max"/>
        <color rgb="FFF8696B"/>
        <color rgb="FFFFEB84"/>
        <color rgb="FF63BE7B"/>
      </colorScale>
    </cfRule>
  </conditionalFormatting>
  <conditionalFormatting sqref="N11">
    <cfRule type="colorScale" priority="64">
      <colorScale>
        <cfvo type="min"/>
        <cfvo type="percentile" val="50"/>
        <cfvo type="max"/>
        <color rgb="FFF8696B"/>
        <color rgb="FFFFEB84"/>
        <color rgb="FF63BE7B"/>
      </colorScale>
    </cfRule>
  </conditionalFormatting>
  <conditionalFormatting sqref="N9:N11">
    <cfRule type="colorScale" priority="60">
      <colorScale>
        <cfvo type="min"/>
        <cfvo type="percentile" val="50"/>
        <cfvo type="max"/>
        <color rgb="FFF8696B"/>
        <color rgb="FFFFEB84"/>
        <color rgb="FF63BE7B"/>
      </colorScale>
    </cfRule>
  </conditionalFormatting>
  <conditionalFormatting sqref="N9">
    <cfRule type="colorScale" priority="63">
      <colorScale>
        <cfvo type="min"/>
        <cfvo type="percentile" val="50"/>
        <cfvo type="max"/>
        <color rgb="FFF8696B"/>
        <color rgb="FFFFEB84"/>
        <color rgb="FF63BE7B"/>
      </colorScale>
    </cfRule>
  </conditionalFormatting>
  <conditionalFormatting sqref="N10">
    <cfRule type="colorScale" priority="62">
      <colorScale>
        <cfvo type="min"/>
        <cfvo type="percentile" val="50"/>
        <cfvo type="max"/>
        <color rgb="FFF8696B"/>
        <color rgb="FFFFEB84"/>
        <color rgb="FF63BE7B"/>
      </colorScale>
    </cfRule>
  </conditionalFormatting>
  <conditionalFormatting sqref="N11">
    <cfRule type="colorScale" priority="61">
      <colorScale>
        <cfvo type="min"/>
        <cfvo type="percentile" val="50"/>
        <cfvo type="max"/>
        <color rgb="FFF8696B"/>
        <color rgb="FFFFEB84"/>
        <color rgb="FF63BE7B"/>
      </colorScale>
    </cfRule>
  </conditionalFormatting>
  <conditionalFormatting sqref="N8">
    <cfRule type="colorScale" priority="59">
      <colorScale>
        <cfvo type="min"/>
        <cfvo type="percentile" val="50"/>
        <cfvo type="max"/>
        <color rgb="FFF8696B"/>
        <color rgb="FFFFEB84"/>
        <color rgb="FF63BE7B"/>
      </colorScale>
    </cfRule>
  </conditionalFormatting>
  <conditionalFormatting sqref="N8">
    <cfRule type="colorScale" priority="58">
      <colorScale>
        <cfvo type="min"/>
        <cfvo type="percentile" val="50"/>
        <cfvo type="max"/>
        <color rgb="FFF8696B"/>
        <color rgb="FFFFEB84"/>
        <color rgb="FF63BE7B"/>
      </colorScale>
    </cfRule>
  </conditionalFormatting>
  <conditionalFormatting sqref="N8">
    <cfRule type="colorScale" priority="57">
      <colorScale>
        <cfvo type="min"/>
        <cfvo type="percentile" val="50"/>
        <cfvo type="max"/>
        <color rgb="FFF8696B"/>
        <color rgb="FFFFEB84"/>
        <color rgb="FF63BE7B"/>
      </colorScale>
    </cfRule>
  </conditionalFormatting>
  <conditionalFormatting sqref="N8:N11">
    <cfRule type="colorScale" priority="56">
      <colorScale>
        <cfvo type="min"/>
        <cfvo type="percentile" val="50"/>
        <cfvo type="max"/>
        <color rgb="FFF8696B"/>
        <color rgb="FFFFEB84"/>
        <color rgb="FF63BE7B"/>
      </colorScale>
    </cfRule>
  </conditionalFormatting>
  <conditionalFormatting sqref="N15">
    <cfRule type="colorScale" priority="55">
      <colorScale>
        <cfvo type="min"/>
        <cfvo type="percentile" val="50"/>
        <cfvo type="max"/>
        <color rgb="FFF8696B"/>
        <color rgb="FFFFEB84"/>
        <color rgb="FF63BE7B"/>
      </colorScale>
    </cfRule>
  </conditionalFormatting>
  <conditionalFormatting sqref="N13:N15">
    <cfRule type="colorScale" priority="51">
      <colorScale>
        <cfvo type="min"/>
        <cfvo type="percentile" val="50"/>
        <cfvo type="max"/>
        <color rgb="FFF8696B"/>
        <color rgb="FFFFEB84"/>
        <color rgb="FF63BE7B"/>
      </colorScale>
    </cfRule>
  </conditionalFormatting>
  <conditionalFormatting sqref="N13">
    <cfRule type="colorScale" priority="54">
      <colorScale>
        <cfvo type="min"/>
        <cfvo type="percentile" val="50"/>
        <cfvo type="max"/>
        <color rgb="FFF8696B"/>
        <color rgb="FFFFEB84"/>
        <color rgb="FF63BE7B"/>
      </colorScale>
    </cfRule>
  </conditionalFormatting>
  <conditionalFormatting sqref="N14">
    <cfRule type="colorScale" priority="53">
      <colorScale>
        <cfvo type="min"/>
        <cfvo type="percentile" val="50"/>
        <cfvo type="max"/>
        <color rgb="FFF8696B"/>
        <color rgb="FFFFEB84"/>
        <color rgb="FF63BE7B"/>
      </colorScale>
    </cfRule>
  </conditionalFormatting>
  <conditionalFormatting sqref="N15">
    <cfRule type="colorScale" priority="52">
      <colorScale>
        <cfvo type="min"/>
        <cfvo type="percentile" val="50"/>
        <cfvo type="max"/>
        <color rgb="FFF8696B"/>
        <color rgb="FFFFEB84"/>
        <color rgb="FF63BE7B"/>
      </colorScale>
    </cfRule>
  </conditionalFormatting>
  <conditionalFormatting sqref="N12">
    <cfRule type="colorScale" priority="50">
      <colorScale>
        <cfvo type="min"/>
        <cfvo type="percentile" val="50"/>
        <cfvo type="max"/>
        <color rgb="FFF8696B"/>
        <color rgb="FFFFEB84"/>
        <color rgb="FF63BE7B"/>
      </colorScale>
    </cfRule>
  </conditionalFormatting>
  <conditionalFormatting sqref="N12">
    <cfRule type="colorScale" priority="49">
      <colorScale>
        <cfvo type="min"/>
        <cfvo type="percentile" val="50"/>
        <cfvo type="max"/>
        <color rgb="FFF8696B"/>
        <color rgb="FFFFEB84"/>
        <color rgb="FF63BE7B"/>
      </colorScale>
    </cfRule>
  </conditionalFormatting>
  <conditionalFormatting sqref="N12">
    <cfRule type="colorScale" priority="48">
      <colorScale>
        <cfvo type="min"/>
        <cfvo type="percentile" val="50"/>
        <cfvo type="max"/>
        <color rgb="FFF8696B"/>
        <color rgb="FFFFEB84"/>
        <color rgb="FF63BE7B"/>
      </colorScale>
    </cfRule>
  </conditionalFormatting>
  <conditionalFormatting sqref="N12:N15">
    <cfRule type="colorScale" priority="47">
      <colorScale>
        <cfvo type="min"/>
        <cfvo type="percentile" val="50"/>
        <cfvo type="max"/>
        <color rgb="FFF8696B"/>
        <color rgb="FFFFEB84"/>
        <color rgb="FF63BE7B"/>
      </colorScale>
    </cfRule>
  </conditionalFormatting>
  <conditionalFormatting sqref="N19">
    <cfRule type="colorScale" priority="46">
      <colorScale>
        <cfvo type="min"/>
        <cfvo type="percentile" val="50"/>
        <cfvo type="max"/>
        <color rgb="FFF8696B"/>
        <color rgb="FFFFEB84"/>
        <color rgb="FF63BE7B"/>
      </colorScale>
    </cfRule>
  </conditionalFormatting>
  <conditionalFormatting sqref="N17:N19">
    <cfRule type="colorScale" priority="42">
      <colorScale>
        <cfvo type="min"/>
        <cfvo type="percentile" val="50"/>
        <cfvo type="max"/>
        <color rgb="FFF8696B"/>
        <color rgb="FFFFEB84"/>
        <color rgb="FF63BE7B"/>
      </colorScale>
    </cfRule>
  </conditionalFormatting>
  <conditionalFormatting sqref="N17">
    <cfRule type="colorScale" priority="45">
      <colorScale>
        <cfvo type="min"/>
        <cfvo type="percentile" val="50"/>
        <cfvo type="max"/>
        <color rgb="FFF8696B"/>
        <color rgb="FFFFEB84"/>
        <color rgb="FF63BE7B"/>
      </colorScale>
    </cfRule>
  </conditionalFormatting>
  <conditionalFormatting sqref="N18">
    <cfRule type="colorScale" priority="44">
      <colorScale>
        <cfvo type="min"/>
        <cfvo type="percentile" val="50"/>
        <cfvo type="max"/>
        <color rgb="FFF8696B"/>
        <color rgb="FFFFEB84"/>
        <color rgb="FF63BE7B"/>
      </colorScale>
    </cfRule>
  </conditionalFormatting>
  <conditionalFormatting sqref="N19">
    <cfRule type="colorScale" priority="43">
      <colorScale>
        <cfvo type="min"/>
        <cfvo type="percentile" val="50"/>
        <cfvo type="max"/>
        <color rgb="FFF8696B"/>
        <color rgb="FFFFEB84"/>
        <color rgb="FF63BE7B"/>
      </colorScale>
    </cfRule>
  </conditionalFormatting>
  <conditionalFormatting sqref="N16">
    <cfRule type="colorScale" priority="41">
      <colorScale>
        <cfvo type="min"/>
        <cfvo type="percentile" val="50"/>
        <cfvo type="max"/>
        <color rgb="FFF8696B"/>
        <color rgb="FFFFEB84"/>
        <color rgb="FF63BE7B"/>
      </colorScale>
    </cfRule>
  </conditionalFormatting>
  <conditionalFormatting sqref="N16">
    <cfRule type="colorScale" priority="40">
      <colorScale>
        <cfvo type="min"/>
        <cfvo type="percentile" val="50"/>
        <cfvo type="max"/>
        <color rgb="FFF8696B"/>
        <color rgb="FFFFEB84"/>
        <color rgb="FF63BE7B"/>
      </colorScale>
    </cfRule>
  </conditionalFormatting>
  <conditionalFormatting sqref="N16">
    <cfRule type="colorScale" priority="39">
      <colorScale>
        <cfvo type="min"/>
        <cfvo type="percentile" val="50"/>
        <cfvo type="max"/>
        <color rgb="FFF8696B"/>
        <color rgb="FFFFEB84"/>
        <color rgb="FF63BE7B"/>
      </colorScale>
    </cfRule>
  </conditionalFormatting>
  <conditionalFormatting sqref="N16:N19">
    <cfRule type="colorScale" priority="38">
      <colorScale>
        <cfvo type="min"/>
        <cfvo type="percentile" val="50"/>
        <cfvo type="max"/>
        <color rgb="FFF8696B"/>
        <color rgb="FFFFEB84"/>
        <color rgb="FF63BE7B"/>
      </colorScale>
    </cfRule>
  </conditionalFormatting>
  <conditionalFormatting sqref="N23">
    <cfRule type="colorScale" priority="37">
      <colorScale>
        <cfvo type="min"/>
        <cfvo type="percentile" val="50"/>
        <cfvo type="max"/>
        <color rgb="FFF8696B"/>
        <color rgb="FFFFEB84"/>
        <color rgb="FF63BE7B"/>
      </colorScale>
    </cfRule>
  </conditionalFormatting>
  <conditionalFormatting sqref="N21:N23">
    <cfRule type="colorScale" priority="33">
      <colorScale>
        <cfvo type="min"/>
        <cfvo type="percentile" val="50"/>
        <cfvo type="max"/>
        <color rgb="FFF8696B"/>
        <color rgb="FFFFEB84"/>
        <color rgb="FF63BE7B"/>
      </colorScale>
    </cfRule>
  </conditionalFormatting>
  <conditionalFormatting sqref="N21">
    <cfRule type="colorScale" priority="36">
      <colorScale>
        <cfvo type="min"/>
        <cfvo type="percentile" val="50"/>
        <cfvo type="max"/>
        <color rgb="FFF8696B"/>
        <color rgb="FFFFEB84"/>
        <color rgb="FF63BE7B"/>
      </colorScale>
    </cfRule>
  </conditionalFormatting>
  <conditionalFormatting sqref="N22">
    <cfRule type="colorScale" priority="35">
      <colorScale>
        <cfvo type="min"/>
        <cfvo type="percentile" val="50"/>
        <cfvo type="max"/>
        <color rgb="FFF8696B"/>
        <color rgb="FFFFEB84"/>
        <color rgb="FF63BE7B"/>
      </colorScale>
    </cfRule>
  </conditionalFormatting>
  <conditionalFormatting sqref="N23">
    <cfRule type="colorScale" priority="34">
      <colorScale>
        <cfvo type="min"/>
        <cfvo type="percentile" val="50"/>
        <cfvo type="max"/>
        <color rgb="FFF8696B"/>
        <color rgb="FFFFEB84"/>
        <color rgb="FF63BE7B"/>
      </colorScale>
    </cfRule>
  </conditionalFormatting>
  <conditionalFormatting sqref="N20">
    <cfRule type="colorScale" priority="32">
      <colorScale>
        <cfvo type="min"/>
        <cfvo type="percentile" val="50"/>
        <cfvo type="max"/>
        <color rgb="FFF8696B"/>
        <color rgb="FFFFEB84"/>
        <color rgb="FF63BE7B"/>
      </colorScale>
    </cfRule>
  </conditionalFormatting>
  <conditionalFormatting sqref="N20">
    <cfRule type="colorScale" priority="31">
      <colorScale>
        <cfvo type="min"/>
        <cfvo type="percentile" val="50"/>
        <cfvo type="max"/>
        <color rgb="FFF8696B"/>
        <color rgb="FFFFEB84"/>
        <color rgb="FF63BE7B"/>
      </colorScale>
    </cfRule>
  </conditionalFormatting>
  <conditionalFormatting sqref="N20">
    <cfRule type="colorScale" priority="30">
      <colorScale>
        <cfvo type="min"/>
        <cfvo type="percentile" val="50"/>
        <cfvo type="max"/>
        <color rgb="FFF8696B"/>
        <color rgb="FFFFEB84"/>
        <color rgb="FF63BE7B"/>
      </colorScale>
    </cfRule>
  </conditionalFormatting>
  <conditionalFormatting sqref="N20:N23">
    <cfRule type="colorScale" priority="29">
      <colorScale>
        <cfvo type="min"/>
        <cfvo type="percentile" val="50"/>
        <cfvo type="max"/>
        <color rgb="FFF8696B"/>
        <color rgb="FFFFEB84"/>
        <color rgb="FF63BE7B"/>
      </colorScale>
    </cfRule>
  </conditionalFormatting>
  <conditionalFormatting sqref="N27">
    <cfRule type="colorScale" priority="28">
      <colorScale>
        <cfvo type="min"/>
        <cfvo type="percentile" val="50"/>
        <cfvo type="max"/>
        <color rgb="FFF8696B"/>
        <color rgb="FFFFEB84"/>
        <color rgb="FF63BE7B"/>
      </colorScale>
    </cfRule>
  </conditionalFormatting>
  <conditionalFormatting sqref="N25:N27">
    <cfRule type="colorScale" priority="24">
      <colorScale>
        <cfvo type="min"/>
        <cfvo type="percentile" val="50"/>
        <cfvo type="max"/>
        <color rgb="FFF8696B"/>
        <color rgb="FFFFEB84"/>
        <color rgb="FF63BE7B"/>
      </colorScale>
    </cfRule>
  </conditionalFormatting>
  <conditionalFormatting sqref="N25">
    <cfRule type="colorScale" priority="27">
      <colorScale>
        <cfvo type="min"/>
        <cfvo type="percentile" val="50"/>
        <cfvo type="max"/>
        <color rgb="FFF8696B"/>
        <color rgb="FFFFEB84"/>
        <color rgb="FF63BE7B"/>
      </colorScale>
    </cfRule>
  </conditionalFormatting>
  <conditionalFormatting sqref="N26">
    <cfRule type="colorScale" priority="26">
      <colorScale>
        <cfvo type="min"/>
        <cfvo type="percentile" val="50"/>
        <cfvo type="max"/>
        <color rgb="FFF8696B"/>
        <color rgb="FFFFEB84"/>
        <color rgb="FF63BE7B"/>
      </colorScale>
    </cfRule>
  </conditionalFormatting>
  <conditionalFormatting sqref="N27">
    <cfRule type="colorScale" priority="25">
      <colorScale>
        <cfvo type="min"/>
        <cfvo type="percentile" val="50"/>
        <cfvo type="max"/>
        <color rgb="FFF8696B"/>
        <color rgb="FFFFEB84"/>
        <color rgb="FF63BE7B"/>
      </colorScale>
    </cfRule>
  </conditionalFormatting>
  <conditionalFormatting sqref="N24">
    <cfRule type="colorScale" priority="23">
      <colorScale>
        <cfvo type="min"/>
        <cfvo type="percentile" val="50"/>
        <cfvo type="max"/>
        <color rgb="FFF8696B"/>
        <color rgb="FFFFEB84"/>
        <color rgb="FF63BE7B"/>
      </colorScale>
    </cfRule>
  </conditionalFormatting>
  <conditionalFormatting sqref="N24">
    <cfRule type="colorScale" priority="22">
      <colorScale>
        <cfvo type="min"/>
        <cfvo type="percentile" val="50"/>
        <cfvo type="max"/>
        <color rgb="FFF8696B"/>
        <color rgb="FFFFEB84"/>
        <color rgb="FF63BE7B"/>
      </colorScale>
    </cfRule>
  </conditionalFormatting>
  <conditionalFormatting sqref="N24">
    <cfRule type="colorScale" priority="21">
      <colorScale>
        <cfvo type="min"/>
        <cfvo type="percentile" val="50"/>
        <cfvo type="max"/>
        <color rgb="FFF8696B"/>
        <color rgb="FFFFEB84"/>
        <color rgb="FF63BE7B"/>
      </colorScale>
    </cfRule>
  </conditionalFormatting>
  <conditionalFormatting sqref="N24:N27">
    <cfRule type="colorScale" priority="20">
      <colorScale>
        <cfvo type="min"/>
        <cfvo type="percentile" val="50"/>
        <cfvo type="max"/>
        <color rgb="FFF8696B"/>
        <color rgb="FFFFEB84"/>
        <color rgb="FF63BE7B"/>
      </colorScale>
    </cfRule>
  </conditionalFormatting>
  <conditionalFormatting sqref="N31">
    <cfRule type="colorScale" priority="19">
      <colorScale>
        <cfvo type="min"/>
        <cfvo type="percentile" val="50"/>
        <cfvo type="max"/>
        <color rgb="FFF8696B"/>
        <color rgb="FFFFEB84"/>
        <color rgb="FF63BE7B"/>
      </colorScale>
    </cfRule>
  </conditionalFormatting>
  <conditionalFormatting sqref="N29:N31">
    <cfRule type="colorScale" priority="15">
      <colorScale>
        <cfvo type="min"/>
        <cfvo type="percentile" val="50"/>
        <cfvo type="max"/>
        <color rgb="FFF8696B"/>
        <color rgb="FFFFEB84"/>
        <color rgb="FF63BE7B"/>
      </colorScale>
    </cfRule>
  </conditionalFormatting>
  <conditionalFormatting sqref="N29">
    <cfRule type="colorScale" priority="18">
      <colorScale>
        <cfvo type="min"/>
        <cfvo type="percentile" val="50"/>
        <cfvo type="max"/>
        <color rgb="FFF8696B"/>
        <color rgb="FFFFEB84"/>
        <color rgb="FF63BE7B"/>
      </colorScale>
    </cfRule>
  </conditionalFormatting>
  <conditionalFormatting sqref="N30">
    <cfRule type="colorScale" priority="17">
      <colorScale>
        <cfvo type="min"/>
        <cfvo type="percentile" val="50"/>
        <cfvo type="max"/>
        <color rgb="FFF8696B"/>
        <color rgb="FFFFEB84"/>
        <color rgb="FF63BE7B"/>
      </colorScale>
    </cfRule>
  </conditionalFormatting>
  <conditionalFormatting sqref="N31">
    <cfRule type="colorScale" priority="16">
      <colorScale>
        <cfvo type="min"/>
        <cfvo type="percentile" val="50"/>
        <cfvo type="max"/>
        <color rgb="FFF8696B"/>
        <color rgb="FFFFEB84"/>
        <color rgb="FF63BE7B"/>
      </colorScale>
    </cfRule>
  </conditionalFormatting>
  <conditionalFormatting sqref="N28">
    <cfRule type="colorScale" priority="14">
      <colorScale>
        <cfvo type="min"/>
        <cfvo type="percentile" val="50"/>
        <cfvo type="max"/>
        <color rgb="FFF8696B"/>
        <color rgb="FFFFEB84"/>
        <color rgb="FF63BE7B"/>
      </colorScale>
    </cfRule>
  </conditionalFormatting>
  <conditionalFormatting sqref="N28">
    <cfRule type="colorScale" priority="13">
      <colorScale>
        <cfvo type="min"/>
        <cfvo type="percentile" val="50"/>
        <cfvo type="max"/>
        <color rgb="FFF8696B"/>
        <color rgb="FFFFEB84"/>
        <color rgb="FF63BE7B"/>
      </colorScale>
    </cfRule>
  </conditionalFormatting>
  <conditionalFormatting sqref="N28">
    <cfRule type="colorScale" priority="12">
      <colorScale>
        <cfvo type="min"/>
        <cfvo type="percentile" val="50"/>
        <cfvo type="max"/>
        <color rgb="FFF8696B"/>
        <color rgb="FFFFEB84"/>
        <color rgb="FF63BE7B"/>
      </colorScale>
    </cfRule>
  </conditionalFormatting>
  <conditionalFormatting sqref="N28:N31">
    <cfRule type="colorScale" priority="11">
      <colorScale>
        <cfvo type="min"/>
        <cfvo type="percentile" val="50"/>
        <cfvo type="max"/>
        <color rgb="FFF8696B"/>
        <color rgb="FFFFEB84"/>
        <color rgb="FF63BE7B"/>
      </colorScale>
    </cfRule>
  </conditionalFormatting>
  <conditionalFormatting sqref="N35">
    <cfRule type="colorScale" priority="10">
      <colorScale>
        <cfvo type="min"/>
        <cfvo type="percentile" val="50"/>
        <cfvo type="max"/>
        <color rgb="FFF8696B"/>
        <color rgb="FFFFEB84"/>
        <color rgb="FF63BE7B"/>
      </colorScale>
    </cfRule>
  </conditionalFormatting>
  <conditionalFormatting sqref="N33:N35">
    <cfRule type="colorScale" priority="6">
      <colorScale>
        <cfvo type="min"/>
        <cfvo type="percentile" val="50"/>
        <cfvo type="max"/>
        <color rgb="FFF8696B"/>
        <color rgb="FFFFEB84"/>
        <color rgb="FF63BE7B"/>
      </colorScale>
    </cfRule>
  </conditionalFormatting>
  <conditionalFormatting sqref="N33">
    <cfRule type="colorScale" priority="9">
      <colorScale>
        <cfvo type="min"/>
        <cfvo type="percentile" val="50"/>
        <cfvo type="max"/>
        <color rgb="FFF8696B"/>
        <color rgb="FFFFEB84"/>
        <color rgb="FF63BE7B"/>
      </colorScale>
    </cfRule>
  </conditionalFormatting>
  <conditionalFormatting sqref="N34">
    <cfRule type="colorScale" priority="8">
      <colorScale>
        <cfvo type="min"/>
        <cfvo type="percentile" val="50"/>
        <cfvo type="max"/>
        <color rgb="FFF8696B"/>
        <color rgb="FFFFEB84"/>
        <color rgb="FF63BE7B"/>
      </colorScale>
    </cfRule>
  </conditionalFormatting>
  <conditionalFormatting sqref="N35">
    <cfRule type="colorScale" priority="7">
      <colorScale>
        <cfvo type="min"/>
        <cfvo type="percentile" val="50"/>
        <cfvo type="max"/>
        <color rgb="FFF8696B"/>
        <color rgb="FFFFEB84"/>
        <color rgb="FF63BE7B"/>
      </colorScale>
    </cfRule>
  </conditionalFormatting>
  <conditionalFormatting sqref="N32">
    <cfRule type="colorScale" priority="5">
      <colorScale>
        <cfvo type="min"/>
        <cfvo type="percentile" val="50"/>
        <cfvo type="max"/>
        <color rgb="FFF8696B"/>
        <color rgb="FFFFEB84"/>
        <color rgb="FF63BE7B"/>
      </colorScale>
    </cfRule>
  </conditionalFormatting>
  <conditionalFormatting sqref="N32">
    <cfRule type="colorScale" priority="4">
      <colorScale>
        <cfvo type="min"/>
        <cfvo type="percentile" val="50"/>
        <cfvo type="max"/>
        <color rgb="FFF8696B"/>
        <color rgb="FFFFEB84"/>
        <color rgb="FF63BE7B"/>
      </colorScale>
    </cfRule>
  </conditionalFormatting>
  <conditionalFormatting sqref="N32">
    <cfRule type="colorScale" priority="3">
      <colorScale>
        <cfvo type="min"/>
        <cfvo type="percentile" val="50"/>
        <cfvo type="max"/>
        <color rgb="FFF8696B"/>
        <color rgb="FFFFEB84"/>
        <color rgb="FF63BE7B"/>
      </colorScale>
    </cfRule>
  </conditionalFormatting>
  <conditionalFormatting sqref="N32:N35">
    <cfRule type="colorScale" priority="2">
      <colorScale>
        <cfvo type="min"/>
        <cfvo type="percentile" val="50"/>
        <cfvo type="max"/>
        <color rgb="FFF8696B"/>
        <color rgb="FFFFEB84"/>
        <color rgb="FF63BE7B"/>
      </colorScale>
    </cfRule>
  </conditionalFormatting>
  <conditionalFormatting sqref="N8:N3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C91B-CA0C-47DC-A1F5-99B61192C184}">
  <dimension ref="A1:AT44"/>
  <sheetViews>
    <sheetView workbookViewId="0">
      <pane ySplit="5" topLeftCell="A6" activePane="bottomLeft" state="frozen"/>
      <selection pane="bottomLeft"/>
    </sheetView>
  </sheetViews>
  <sheetFormatPr defaultRowHeight="14.4" x14ac:dyDescent="0.3"/>
  <cols>
    <col min="1" max="1" width="10.6640625" bestFit="1" customWidth="1"/>
    <col min="2" max="2" width="14" style="1" bestFit="1" customWidth="1"/>
    <col min="3" max="3" width="8.88671875" style="1"/>
    <col min="4" max="4" width="12.21875" style="1" customWidth="1"/>
    <col min="5" max="5" width="12.21875" customWidth="1"/>
    <col min="6" max="6" width="13.6640625" customWidth="1"/>
    <col min="7" max="7" width="14.6640625" customWidth="1"/>
    <col min="8" max="8" width="14.33203125" customWidth="1"/>
    <col min="9" max="9" width="19.21875" customWidth="1"/>
    <col min="10" max="10" width="18.6640625" customWidth="1"/>
    <col min="11" max="11" width="12.88671875" customWidth="1"/>
    <col min="12" max="13" width="11.88671875" customWidth="1"/>
    <col min="14" max="14" width="10.6640625" customWidth="1"/>
    <col min="15" max="15" width="11.5546875" customWidth="1"/>
    <col min="16" max="16" width="12.109375" customWidth="1"/>
    <col min="17" max="17" width="12.6640625" customWidth="1"/>
    <col min="18" max="18" width="18.77734375" customWidth="1"/>
    <col min="19" max="19" width="11.77734375" customWidth="1"/>
    <col min="20" max="20" width="11.88671875" customWidth="1"/>
    <col min="21" max="21" width="10.6640625" customWidth="1"/>
    <col min="22" max="22" width="12.44140625" customWidth="1"/>
    <col min="23" max="23" width="12.88671875" customWidth="1"/>
    <col min="24" max="24" width="17.77734375" customWidth="1"/>
    <col min="25" max="25" width="14.21875" customWidth="1"/>
    <col min="26" max="26" width="18" style="3" customWidth="1"/>
    <col min="27" max="27" width="14" style="3" customWidth="1"/>
    <col min="28" max="28" width="10.33203125" customWidth="1"/>
    <col min="29" max="29" width="11" customWidth="1"/>
    <col min="30" max="30" width="13" customWidth="1"/>
    <col min="31" max="31" width="10.21875" customWidth="1"/>
    <col min="32" max="32" width="12.77734375" customWidth="1"/>
    <col min="33" max="33" width="21.33203125" customWidth="1"/>
    <col min="34" max="34" width="11.5546875" customWidth="1"/>
    <col min="35" max="35" width="16.5546875" customWidth="1"/>
    <col min="36" max="36" width="11.5546875" customWidth="1"/>
    <col min="37" max="37" width="12.5546875" customWidth="1"/>
    <col min="38" max="38" width="11.44140625" bestFit="1" customWidth="1"/>
    <col min="39" max="39" width="16.6640625" bestFit="1" customWidth="1"/>
    <col min="40" max="40" width="12.6640625" customWidth="1"/>
    <col min="42" max="42" width="39.109375" customWidth="1"/>
  </cols>
  <sheetData>
    <row r="1" spans="1:46" ht="43.2" customHeight="1" x14ac:dyDescent="0.3">
      <c r="G1" s="231" t="s">
        <v>0</v>
      </c>
      <c r="H1" s="232"/>
      <c r="I1" s="2" t="s">
        <v>1</v>
      </c>
      <c r="J1" s="2" t="s">
        <v>2</v>
      </c>
      <c r="K1" s="2" t="s">
        <v>3</v>
      </c>
      <c r="L1" s="231" t="s">
        <v>4</v>
      </c>
      <c r="M1" s="233"/>
      <c r="N1" s="231" t="s">
        <v>5</v>
      </c>
      <c r="O1" s="233"/>
      <c r="P1" s="234" t="s">
        <v>51</v>
      </c>
      <c r="Q1" s="235"/>
      <c r="R1" s="235"/>
      <c r="S1" s="235"/>
      <c r="T1" s="235"/>
      <c r="U1" s="235"/>
      <c r="V1" s="235"/>
      <c r="W1" s="235"/>
      <c r="X1" s="235"/>
      <c r="Y1" s="236"/>
      <c r="AB1" s="5" t="s">
        <v>45</v>
      </c>
      <c r="AG1" s="2" t="s">
        <v>59</v>
      </c>
      <c r="AI1" s="2" t="s">
        <v>66</v>
      </c>
    </row>
    <row r="2" spans="1:46" ht="43.2" x14ac:dyDescent="0.3">
      <c r="A2" s="4" t="s">
        <v>73</v>
      </c>
      <c r="B2" s="5" t="s">
        <v>9</v>
      </c>
      <c r="C2" s="5" t="s">
        <v>8</v>
      </c>
      <c r="D2" s="5" t="s">
        <v>9</v>
      </c>
      <c r="E2" s="20" t="s">
        <v>10</v>
      </c>
      <c r="F2" s="20" t="s">
        <v>77</v>
      </c>
      <c r="G2" s="2" t="s">
        <v>61</v>
      </c>
      <c r="H2" s="2" t="s">
        <v>61</v>
      </c>
      <c r="I2" s="2" t="s">
        <v>149</v>
      </c>
      <c r="J2" s="2" t="s">
        <v>150</v>
      </c>
      <c r="K2" s="2" t="s">
        <v>151</v>
      </c>
      <c r="L2" s="2" t="s">
        <v>65</v>
      </c>
      <c r="M2" s="2" t="s">
        <v>65</v>
      </c>
      <c r="N2" s="2" t="s">
        <v>60</v>
      </c>
      <c r="O2" s="2" t="s">
        <v>60</v>
      </c>
      <c r="P2" s="20" t="s">
        <v>62</v>
      </c>
      <c r="Q2" s="6" t="s">
        <v>17</v>
      </c>
      <c r="R2" s="6" t="s">
        <v>18</v>
      </c>
      <c r="S2" s="6" t="s">
        <v>19</v>
      </c>
      <c r="T2" s="6" t="s">
        <v>20</v>
      </c>
      <c r="U2" s="20" t="s">
        <v>21</v>
      </c>
      <c r="V2" s="20" t="s">
        <v>22</v>
      </c>
      <c r="W2" s="20" t="s">
        <v>39</v>
      </c>
      <c r="X2" s="20" t="s">
        <v>63</v>
      </c>
      <c r="Y2" s="20" t="s">
        <v>40</v>
      </c>
      <c r="Z2" s="4" t="s">
        <v>73</v>
      </c>
      <c r="AA2" s="12" t="s">
        <v>9</v>
      </c>
      <c r="AB2" s="5" t="s">
        <v>41</v>
      </c>
      <c r="AC2" s="6" t="s">
        <v>23</v>
      </c>
      <c r="AD2" s="6" t="s">
        <v>24</v>
      </c>
      <c r="AE2" s="6" t="s">
        <v>25</v>
      </c>
      <c r="AF2" s="6" t="s">
        <v>26</v>
      </c>
      <c r="AG2" s="21" t="s">
        <v>42</v>
      </c>
      <c r="AH2" s="21" t="s">
        <v>43</v>
      </c>
      <c r="AI2" s="21" t="s">
        <v>67</v>
      </c>
      <c r="AJ2" s="21" t="s">
        <v>68</v>
      </c>
      <c r="AK2" s="6" t="s">
        <v>55</v>
      </c>
      <c r="AL2" s="11" t="s">
        <v>27</v>
      </c>
      <c r="AM2" s="11" t="s">
        <v>69</v>
      </c>
      <c r="AN2" s="11" t="s">
        <v>70</v>
      </c>
      <c r="AP2" s="25" t="s">
        <v>44</v>
      </c>
      <c r="AQ2" s="23" t="s">
        <v>11</v>
      </c>
      <c r="AR2" s="23" t="s">
        <v>12</v>
      </c>
      <c r="AS2" s="23" t="s">
        <v>13</v>
      </c>
      <c r="AT2" s="23" t="s">
        <v>41</v>
      </c>
    </row>
    <row r="3" spans="1:46" x14ac:dyDescent="0.3">
      <c r="A3" s="55" t="s">
        <v>16</v>
      </c>
      <c r="B3" s="113" t="str">
        <f>D3</f>
        <v>B-O-T-V</v>
      </c>
      <c r="C3" s="36" t="s">
        <v>28</v>
      </c>
      <c r="D3" s="183" t="str">
        <f>'Scoreblad B-O-T-V'!D5</f>
        <v>B-O-T-V</v>
      </c>
      <c r="E3" s="49" t="str">
        <f>IF(G3&gt;5,IF(N3&lt;$N$42,"A",IF(N3&gt;$N$44,"C","B")),"Blinde vlek")</f>
        <v>B</v>
      </c>
      <c r="F3" s="49" t="s">
        <v>28</v>
      </c>
      <c r="G3" s="37">
        <f>SUM(G6:G33)/4</f>
        <v>2557.5544795463666</v>
      </c>
      <c r="H3" s="37">
        <f>SUM(H6:H33)</f>
        <v>2557.5544795463661</v>
      </c>
      <c r="I3" s="37">
        <f t="shared" ref="I3:J3" si="0">SUM(I6:I33)</f>
        <v>2820.4999999999995</v>
      </c>
      <c r="J3" s="37">
        <f t="shared" si="0"/>
        <v>2397.4250000000002</v>
      </c>
      <c r="K3" s="37">
        <f>I3-H3</f>
        <v>262.94552045363343</v>
      </c>
      <c r="L3" s="37">
        <f>SUM(L6:L33)/4</f>
        <v>-160.12947954636712</v>
      </c>
      <c r="M3" s="37">
        <f>J3-H3</f>
        <v>-160.12947954636593</v>
      </c>
      <c r="N3" s="38">
        <f>O3</f>
        <v>-6.6792279027025211E-2</v>
      </c>
      <c r="O3" s="38">
        <f>M3/J3</f>
        <v>-6.6792279027025211E-2</v>
      </c>
      <c r="P3" s="37">
        <f>SUM(P6:P33)/4</f>
        <v>2550</v>
      </c>
      <c r="Q3" s="37">
        <f>SUM(Q6:Q33)</f>
        <v>2550</v>
      </c>
      <c r="R3" s="37">
        <f t="shared" ref="R3:T3" si="1">SUM(R6:R33)</f>
        <v>1877</v>
      </c>
      <c r="S3" s="37">
        <f t="shared" si="1"/>
        <v>673</v>
      </c>
      <c r="T3" s="37">
        <f t="shared" si="1"/>
        <v>550</v>
      </c>
      <c r="U3" s="37">
        <f>S3-T3</f>
        <v>123</v>
      </c>
      <c r="V3" s="38">
        <f>IF(R3=0,"Blinde vlek",U3/Q3)</f>
        <v>4.8235294117647057E-2</v>
      </c>
      <c r="W3" s="48" t="s">
        <v>28</v>
      </c>
      <c r="X3" s="37">
        <f>SUM(X6:X33)/4</f>
        <v>123</v>
      </c>
      <c r="Y3" s="37" t="str">
        <f>IF(P3=0,"Blinde vlek",IF(X3/P3&lt;$Y$42,"A",IF(X3/P3&gt;$Y$44,"C","B")))</f>
        <v>B</v>
      </c>
      <c r="Z3" s="55" t="s">
        <v>16</v>
      </c>
      <c r="AA3" s="35" t="str">
        <f>B3</f>
        <v>B-O-T-V</v>
      </c>
      <c r="AB3" s="37">
        <f>SUM(AB6:AB33)</f>
        <v>28</v>
      </c>
      <c r="AC3" s="48" t="s">
        <v>28</v>
      </c>
      <c r="AD3" s="48">
        <f>IF(E3= "A",2,IF(E3 = "Blinde vlek",2,IF(E3 = "B",1,0)))</f>
        <v>1</v>
      </c>
      <c r="AE3" s="48" t="s">
        <v>28</v>
      </c>
      <c r="AF3" s="48">
        <f>IF(Y3= "A",2,IF(Y3 = "Blinde vlek",2,IF(Y3 = "B",1,0)))</f>
        <v>1</v>
      </c>
      <c r="AG3" s="37">
        <f>M3+U3</f>
        <v>-37.129479546365928</v>
      </c>
      <c r="AH3" s="37">
        <f>M3+U3+AB3</f>
        <v>-9.1294795463659284</v>
      </c>
      <c r="AI3" s="37">
        <f>R3+T3</f>
        <v>2427</v>
      </c>
      <c r="AJ3" s="38">
        <f>AG3/AI3</f>
        <v>-1.5298508259730502E-2</v>
      </c>
      <c r="AK3" s="37">
        <f>SUM(AK6:AK33)</f>
        <v>18</v>
      </c>
      <c r="AL3" s="64">
        <f>SUM(AL6:AL33)</f>
        <v>75</v>
      </c>
      <c r="AM3" s="56">
        <f>IF(AK3&gt;0,AL3/AB3,0)</f>
        <v>2.6785714285714284</v>
      </c>
      <c r="AN3" s="56" t="str">
        <f>IF(AM3&gt;=$AQ$3,$AQ$2,IF(AM3&gt;=$AR$3,$AR$2,IF(AM3&gt;=$AS$3,$AS$2,$AT$2)))</f>
        <v>C</v>
      </c>
      <c r="AP3" s="25" t="s">
        <v>78</v>
      </c>
      <c r="AQ3" s="46">
        <v>6</v>
      </c>
      <c r="AR3" s="46">
        <v>4</v>
      </c>
      <c r="AS3" s="46">
        <v>2</v>
      </c>
      <c r="AT3" s="46">
        <v>0</v>
      </c>
    </row>
    <row r="4" spans="1:46" x14ac:dyDescent="0.3">
      <c r="A4" s="50"/>
      <c r="B4" s="51"/>
      <c r="C4" s="51"/>
      <c r="D4" s="5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52"/>
    </row>
    <row r="5" spans="1:46" ht="43.2" x14ac:dyDescent="0.3">
      <c r="A5" s="57" t="s">
        <v>6</v>
      </c>
      <c r="B5" s="58" t="s">
        <v>7</v>
      </c>
      <c r="C5" s="58" t="s">
        <v>8</v>
      </c>
      <c r="D5" s="58" t="s">
        <v>9</v>
      </c>
      <c r="E5" s="59" t="s">
        <v>10</v>
      </c>
      <c r="F5" s="59" t="s">
        <v>77</v>
      </c>
      <c r="G5" s="60" t="s">
        <v>61</v>
      </c>
      <c r="H5" s="168" t="s">
        <v>152</v>
      </c>
      <c r="I5" s="168" t="s">
        <v>128</v>
      </c>
      <c r="J5" s="168" t="s">
        <v>129</v>
      </c>
      <c r="K5" s="60" t="s">
        <v>14</v>
      </c>
      <c r="L5" s="60" t="s">
        <v>65</v>
      </c>
      <c r="M5" s="60" t="s">
        <v>64</v>
      </c>
      <c r="N5" s="60" t="s">
        <v>60</v>
      </c>
      <c r="O5" s="60" t="s">
        <v>15</v>
      </c>
      <c r="P5" s="59" t="s">
        <v>62</v>
      </c>
      <c r="Q5" s="173" t="s">
        <v>17</v>
      </c>
      <c r="R5" s="173" t="s">
        <v>18</v>
      </c>
      <c r="S5" s="173" t="s">
        <v>19</v>
      </c>
      <c r="T5" s="173" t="s">
        <v>20</v>
      </c>
      <c r="U5" s="59" t="s">
        <v>21</v>
      </c>
      <c r="V5" s="59" t="s">
        <v>22</v>
      </c>
      <c r="W5" s="59" t="s">
        <v>39</v>
      </c>
      <c r="X5" s="59" t="s">
        <v>63</v>
      </c>
      <c r="Y5" s="59" t="s">
        <v>40</v>
      </c>
      <c r="Z5" s="57" t="s">
        <v>6</v>
      </c>
      <c r="AA5" s="58" t="s">
        <v>7</v>
      </c>
      <c r="AB5" s="58" t="s">
        <v>41</v>
      </c>
      <c r="AC5" s="61" t="s">
        <v>23</v>
      </c>
      <c r="AD5" s="61" t="s">
        <v>24</v>
      </c>
      <c r="AE5" s="61" t="s">
        <v>25</v>
      </c>
      <c r="AF5" s="61" t="s">
        <v>26</v>
      </c>
      <c r="AG5" s="63" t="s">
        <v>42</v>
      </c>
      <c r="AH5" s="63" t="s">
        <v>43</v>
      </c>
      <c r="AI5" s="63" t="s">
        <v>67</v>
      </c>
      <c r="AJ5" s="63" t="s">
        <v>68</v>
      </c>
      <c r="AK5" s="61" t="s">
        <v>55</v>
      </c>
      <c r="AL5" s="62" t="s">
        <v>29</v>
      </c>
      <c r="AM5" s="62" t="s">
        <v>72</v>
      </c>
      <c r="AN5" s="62" t="s">
        <v>71</v>
      </c>
    </row>
    <row r="6" spans="1:46" x14ac:dyDescent="0.3">
      <c r="A6" s="14" t="s">
        <v>30</v>
      </c>
      <c r="B6" s="40" t="str">
        <f>'Scoreblad B-O-T-V'!B8</f>
        <v>Brugge</v>
      </c>
      <c r="C6" s="44">
        <f>'Scoreblad B-O-T-V'!C8</f>
        <v>37</v>
      </c>
      <c r="D6" s="7" t="str">
        <f>D$3</f>
        <v>B-O-T-V</v>
      </c>
      <c r="E6" s="9" t="str">
        <f t="shared" ref="E6:E26" si="2">IF(G6&gt;5,IF(N6&lt;$N$42,"A",IF(N6&gt;$N$44,"C","B")),"Blinde vlek")</f>
        <v>B</v>
      </c>
      <c r="F6" s="9" t="str">
        <f t="shared" ref="F6:F26" si="3">IF(H6&gt;5,IF(O6&lt;$O$42,"A",IF(O6&gt;$O$44,"C","B")),"Blinde vlek")</f>
        <v>B</v>
      </c>
      <c r="G6" s="45">
        <f>SUM(H6:H9)</f>
        <v>507.86550654458375</v>
      </c>
      <c r="H6" s="8">
        <f>'Scoreblad B-O-T-V'!H8</f>
        <v>176.7031790028158</v>
      </c>
      <c r="I6" s="8">
        <f>'Scoreblad B-O-T-V'!I8</f>
        <v>212.96229936543486</v>
      </c>
      <c r="J6" s="8">
        <f>'Scoreblad B-O-T-V'!J8</f>
        <v>181.01795446061962</v>
      </c>
      <c r="K6" s="8">
        <f t="shared" ref="K6:K25" si="4">I6-H6</f>
        <v>36.259120362619058</v>
      </c>
      <c r="L6" s="45">
        <f>SUM(M6:M9)</f>
        <v>-50.657061347871689</v>
      </c>
      <c r="M6" s="8">
        <f t="shared" ref="M6:M26" si="5">J6-H6</f>
        <v>4.3147754578038189</v>
      </c>
      <c r="N6" s="41">
        <f>IF(SUM(J6:J9)&gt;5,SUM(M6:M9)/SUM(J6:J9),"Blinde vlek")</f>
        <v>-0.11079642530679129</v>
      </c>
      <c r="O6" s="10">
        <f t="shared" ref="O6:O26" si="6">IF(J6&gt;0,(J6-H6)/J6,"Blinde vlek")</f>
        <v>2.3836173989815451E-2</v>
      </c>
      <c r="P6" s="45">
        <f>SUM(Q6:Q9)</f>
        <v>506</v>
      </c>
      <c r="Q6" s="8">
        <f>'Scoreblad B-O-T-V'!Q8</f>
        <v>177</v>
      </c>
      <c r="R6" s="8">
        <f>'Scoreblad B-O-T-V'!R8</f>
        <v>128</v>
      </c>
      <c r="S6" s="8">
        <f>'Scoreblad B-O-T-V'!S8</f>
        <v>49</v>
      </c>
      <c r="T6" s="8">
        <f>'Scoreblad B-O-T-V'!T8</f>
        <v>19</v>
      </c>
      <c r="U6" s="8">
        <f>S6-T6</f>
        <v>30</v>
      </c>
      <c r="V6" s="10">
        <f t="shared" ref="V6:V26" si="7">IF(R6=0,"Blinde vlek",U6/Q6)</f>
        <v>0.16949152542372881</v>
      </c>
      <c r="W6" s="8" t="str">
        <f t="shared" ref="W6:W26" si="8">IF(Q6=0,"Blinde vlek",IF(U6/Q6&lt;$X$42,"A",IF(U6/Q6&gt;$X$44,"C","B")))</f>
        <v>B</v>
      </c>
      <c r="X6" s="45">
        <f>SUM(U6:U9)</f>
        <v>37</v>
      </c>
      <c r="Y6" s="8" t="str">
        <f t="shared" ref="Y6:Y26" si="9">IF(P6=0,"Blinde vlek",IF(X6/P6&lt;$Y$42,"A",IF(X6/P6&gt;$Y$44,"C","B")))</f>
        <v>B</v>
      </c>
      <c r="Z6" s="28" t="s">
        <v>30</v>
      </c>
      <c r="AA6" s="19" t="str">
        <f t="shared" ref="AA6:AA33" si="10">B6</f>
        <v>Brugge</v>
      </c>
      <c r="AB6" s="96">
        <v>1</v>
      </c>
      <c r="AC6" s="44">
        <f t="shared" ref="AC6:AC33" si="11">IF(F6= "A",2,IF(F6 = "Blinde vlek",2,IF(F6 = "B",1,0)))</f>
        <v>1</v>
      </c>
      <c r="AD6" s="44">
        <f t="shared" ref="AD6:AD33" si="12">IF(E6= "A",2,IF(E6 = "Blinde vlek",2,IF(E6 = "B",1,0)))</f>
        <v>1</v>
      </c>
      <c r="AE6" s="44">
        <f t="shared" ref="AE6:AE26" si="13">IF(W6= "A",2,IF(W6 = "Blinde vlek",2,IF(W6 = "B",1,0)))</f>
        <v>1</v>
      </c>
      <c r="AF6" s="44">
        <f t="shared" ref="AF6:AF26" si="14">IF(Y6= "A",2,IF(Y6 = "Blinde vlek",2,IF(Y6 = "B",1,0)))</f>
        <v>1</v>
      </c>
      <c r="AG6" s="8">
        <f t="shared" ref="AG6:AG25" si="15">M6+U6</f>
        <v>34.314775457803819</v>
      </c>
      <c r="AH6" s="8">
        <f t="shared" ref="AH6:AH25" si="16">M6+U6+AB6</f>
        <v>35.314775457803819</v>
      </c>
      <c r="AI6" s="8">
        <f t="shared" ref="AI6:AI18" si="17">R6+T6</f>
        <v>147</v>
      </c>
      <c r="AJ6" s="10">
        <f t="shared" ref="AJ6:AJ24" si="18">AG6/AI6</f>
        <v>0.23343384665172665</v>
      </c>
      <c r="AK6" s="17">
        <f t="shared" ref="AK6:AK17" si="19">IF(AG6&gt;0,0,IF(AG6&lt;-AB6,AB6,-AG6))</f>
        <v>0</v>
      </c>
      <c r="AL6" s="54">
        <f>AK6*SUM(AC6:AF6)</f>
        <v>0</v>
      </c>
      <c r="AM6" s="34">
        <f t="shared" ref="AM6:AM24" si="20">IF(AK6&gt;0,AL6/AB6,0)</f>
        <v>0</v>
      </c>
      <c r="AN6" s="34" t="str">
        <f>IF(AM6&gt;=$AQ$3,$AQ$2,IF(AM6&gt;=$AR$3,$AR$2,IF(AM6&gt;=$AS$3,$AS$2,$AT$2)))</f>
        <v>D</v>
      </c>
      <c r="AP6" s="25" t="s">
        <v>80</v>
      </c>
      <c r="AQ6" s="10">
        <v>0.6</v>
      </c>
      <c r="AR6" s="70" t="s">
        <v>81</v>
      </c>
      <c r="AS6" s="71"/>
      <c r="AT6" s="72"/>
    </row>
    <row r="7" spans="1:46" x14ac:dyDescent="0.3">
      <c r="A7" s="14" t="s">
        <v>30</v>
      </c>
      <c r="B7" s="40" t="str">
        <f>'Scoreblad B-O-T-V'!B9</f>
        <v>Oostende</v>
      </c>
      <c r="C7" s="175">
        <f>'Scoreblad B-O-T-V'!C9</f>
        <v>40</v>
      </c>
      <c r="D7" s="178" t="str">
        <f t="shared" ref="D7:D33" si="21">D$3</f>
        <v>B-O-T-V</v>
      </c>
      <c r="E7" s="9" t="str">
        <f t="shared" si="2"/>
        <v>B</v>
      </c>
      <c r="F7" s="9" t="str">
        <f t="shared" si="3"/>
        <v>A</v>
      </c>
      <c r="G7" s="45">
        <f>SUM(H6:H9)</f>
        <v>507.86550654458375</v>
      </c>
      <c r="H7" s="8">
        <f>'Scoreblad B-O-T-V'!H9</f>
        <v>129.77150453405523</v>
      </c>
      <c r="I7" s="8">
        <f>'Scoreblad B-O-T-V'!I9</f>
        <v>117.68658250787865</v>
      </c>
      <c r="J7" s="8">
        <f>'Scoreblad B-O-T-V'!J9</f>
        <v>100.03359513169686</v>
      </c>
      <c r="K7" s="8">
        <f t="shared" si="4"/>
        <v>-12.084922026176571</v>
      </c>
      <c r="L7" s="45">
        <f>SUM(M6:M9)</f>
        <v>-50.657061347871689</v>
      </c>
      <c r="M7" s="8">
        <f t="shared" si="5"/>
        <v>-29.737909402358369</v>
      </c>
      <c r="N7" s="41">
        <f>IF(SUM(J6:J9)&gt;5,SUM(M6:M9)/SUM(J6:J9),"Blinde vlek")</f>
        <v>-0.11079642530679129</v>
      </c>
      <c r="O7" s="10">
        <f t="shared" si="6"/>
        <v>-0.2972792226772179</v>
      </c>
      <c r="P7" s="45">
        <f>SUM(Q6:Q9)</f>
        <v>506</v>
      </c>
      <c r="Q7" s="8">
        <f>'Scoreblad B-O-T-V'!Q9</f>
        <v>129</v>
      </c>
      <c r="R7" s="8">
        <f>'Scoreblad B-O-T-V'!R9</f>
        <v>117</v>
      </c>
      <c r="S7" s="8">
        <f>'Scoreblad B-O-T-V'!S9</f>
        <v>12</v>
      </c>
      <c r="T7" s="8">
        <f>'Scoreblad B-O-T-V'!T9</f>
        <v>41</v>
      </c>
      <c r="U7" s="8">
        <f t="shared" ref="U7:U33" si="22">S7-T7</f>
        <v>-29</v>
      </c>
      <c r="V7" s="10">
        <f t="shared" si="7"/>
        <v>-0.22480620155038761</v>
      </c>
      <c r="W7" s="8" t="str">
        <f t="shared" si="8"/>
        <v>A</v>
      </c>
      <c r="X7" s="45">
        <f>SUM(U6:U9)</f>
        <v>37</v>
      </c>
      <c r="Y7" s="8" t="str">
        <f t="shared" si="9"/>
        <v>B</v>
      </c>
      <c r="Z7" s="28" t="s">
        <v>30</v>
      </c>
      <c r="AA7" s="19" t="str">
        <f t="shared" si="10"/>
        <v>Oostende</v>
      </c>
      <c r="AB7" s="96">
        <v>1</v>
      </c>
      <c r="AC7" s="44">
        <f t="shared" si="11"/>
        <v>2</v>
      </c>
      <c r="AD7" s="44">
        <f t="shared" si="12"/>
        <v>1</v>
      </c>
      <c r="AE7" s="44">
        <f t="shared" si="13"/>
        <v>2</v>
      </c>
      <c r="AF7" s="44">
        <f t="shared" si="14"/>
        <v>1</v>
      </c>
      <c r="AG7" s="8">
        <f t="shared" si="15"/>
        <v>-58.737909402358369</v>
      </c>
      <c r="AH7" s="8">
        <f t="shared" si="16"/>
        <v>-57.737909402358369</v>
      </c>
      <c r="AI7" s="8">
        <f t="shared" si="17"/>
        <v>158</v>
      </c>
      <c r="AJ7" s="10">
        <f t="shared" si="18"/>
        <v>-0.37175892026809093</v>
      </c>
      <c r="AK7" s="17">
        <f t="shared" si="19"/>
        <v>1</v>
      </c>
      <c r="AL7" s="54">
        <f t="shared" ref="AL7:AL25" si="23">AK7*SUM(AC7:AF7)</f>
        <v>6</v>
      </c>
      <c r="AM7" s="34">
        <f t="shared" si="20"/>
        <v>6</v>
      </c>
      <c r="AN7" s="34" t="str">
        <f t="shared" ref="AN7:AN25" si="24">IF(AM7&gt;=$AQ$3,$AQ$2,IF(AM7&gt;=$AR$3,$AR$2,IF(AM7&gt;=$AS$3,$AS$2,$AT$2)))</f>
        <v>A</v>
      </c>
    </row>
    <row r="8" spans="1:46" x14ac:dyDescent="0.3">
      <c r="A8" s="14" t="s">
        <v>30</v>
      </c>
      <c r="B8" s="40" t="str">
        <f>'Scoreblad B-O-T-V'!B10</f>
        <v>Torhout</v>
      </c>
      <c r="C8" s="175">
        <f>'Scoreblad B-O-T-V'!C10</f>
        <v>42</v>
      </c>
      <c r="D8" s="178" t="str">
        <f t="shared" si="21"/>
        <v>B-O-T-V</v>
      </c>
      <c r="E8" s="9" t="str">
        <f t="shared" si="2"/>
        <v>B</v>
      </c>
      <c r="F8" s="9" t="str">
        <f t="shared" si="3"/>
        <v>B</v>
      </c>
      <c r="G8" s="45">
        <f>SUM(H6:H9)</f>
        <v>507.86550654458375</v>
      </c>
      <c r="H8" s="8">
        <f>'Scoreblad B-O-T-V'!H10</f>
        <v>96.39550540380948</v>
      </c>
      <c r="I8" s="8">
        <f>'Scoreblad B-O-T-V'!I10</f>
        <v>100.64340659340661</v>
      </c>
      <c r="J8" s="8">
        <f>'Scoreblad B-O-T-V'!J10</f>
        <v>85.546895604395615</v>
      </c>
      <c r="K8" s="8">
        <f t="shared" si="4"/>
        <v>4.2479011895971297</v>
      </c>
      <c r="L8" s="45">
        <f>SUM(M6:M9)</f>
        <v>-50.657061347871689</v>
      </c>
      <c r="M8" s="8">
        <f t="shared" si="5"/>
        <v>-10.848609799413865</v>
      </c>
      <c r="N8" s="41">
        <f>IF(SUM(J6:J9)&gt;5,SUM(M6:M9)/SUM(J6:J9),"Blinde vlek")</f>
        <v>-0.11079642530679129</v>
      </c>
      <c r="O8" s="10">
        <f t="shared" si="6"/>
        <v>-0.12681476893775717</v>
      </c>
      <c r="P8" s="45">
        <f>SUM(Q6:Q9)</f>
        <v>506</v>
      </c>
      <c r="Q8" s="8">
        <f>'Scoreblad B-O-T-V'!Q10</f>
        <v>96</v>
      </c>
      <c r="R8" s="8">
        <f>'Scoreblad B-O-T-V'!R10</f>
        <v>63</v>
      </c>
      <c r="S8" s="8">
        <f>'Scoreblad B-O-T-V'!S10</f>
        <v>33</v>
      </c>
      <c r="T8" s="8">
        <f>'Scoreblad B-O-T-V'!T10</f>
        <v>28</v>
      </c>
      <c r="U8" s="8">
        <f t="shared" si="22"/>
        <v>5</v>
      </c>
      <c r="V8" s="10">
        <f t="shared" si="7"/>
        <v>5.2083333333333336E-2</v>
      </c>
      <c r="W8" s="8" t="str">
        <f t="shared" si="8"/>
        <v>B</v>
      </c>
      <c r="X8" s="45">
        <f>SUM(U6:U9)</f>
        <v>37</v>
      </c>
      <c r="Y8" s="8" t="str">
        <f t="shared" si="9"/>
        <v>B</v>
      </c>
      <c r="Z8" s="28" t="s">
        <v>30</v>
      </c>
      <c r="AA8" s="19" t="str">
        <f t="shared" si="10"/>
        <v>Torhout</v>
      </c>
      <c r="AB8" s="96">
        <v>1</v>
      </c>
      <c r="AC8" s="44">
        <f t="shared" si="11"/>
        <v>1</v>
      </c>
      <c r="AD8" s="44">
        <f t="shared" si="12"/>
        <v>1</v>
      </c>
      <c r="AE8" s="44">
        <f t="shared" si="13"/>
        <v>1</v>
      </c>
      <c r="AF8" s="44">
        <f t="shared" si="14"/>
        <v>1</v>
      </c>
      <c r="AG8" s="8">
        <f t="shared" si="15"/>
        <v>-5.8486097994138646</v>
      </c>
      <c r="AH8" s="8">
        <f t="shared" si="16"/>
        <v>-4.8486097994138646</v>
      </c>
      <c r="AI8" s="8">
        <f t="shared" si="17"/>
        <v>91</v>
      </c>
      <c r="AJ8" s="10">
        <f t="shared" si="18"/>
        <v>-6.4270437356196308E-2</v>
      </c>
      <c r="AK8" s="17">
        <f t="shared" si="19"/>
        <v>1</v>
      </c>
      <c r="AL8" s="54">
        <f t="shared" si="23"/>
        <v>4</v>
      </c>
      <c r="AM8" s="34">
        <f t="shared" si="20"/>
        <v>4</v>
      </c>
      <c r="AN8" s="34" t="str">
        <f t="shared" si="24"/>
        <v>B</v>
      </c>
      <c r="AP8" s="65" t="s">
        <v>110</v>
      </c>
      <c r="AQ8" s="69">
        <v>2</v>
      </c>
    </row>
    <row r="9" spans="1:46" ht="14.4" customHeight="1" x14ac:dyDescent="0.3">
      <c r="A9" s="14" t="s">
        <v>30</v>
      </c>
      <c r="B9" s="40" t="str">
        <f>'Scoreblad B-O-T-V'!B11</f>
        <v>Veurne</v>
      </c>
      <c r="C9" s="175">
        <f>'Scoreblad B-O-T-V'!C11</f>
        <v>43</v>
      </c>
      <c r="D9" s="178" t="str">
        <f t="shared" si="21"/>
        <v>B-O-T-V</v>
      </c>
      <c r="E9" s="9" t="str">
        <f t="shared" si="2"/>
        <v>B</v>
      </c>
      <c r="F9" s="9" t="str">
        <f t="shared" si="3"/>
        <v>B</v>
      </c>
      <c r="G9" s="45">
        <f>SUM(H6:H9)</f>
        <v>507.86550654458375</v>
      </c>
      <c r="H9" s="8">
        <f>'Scoreblad B-O-T-V'!H11</f>
        <v>104.99531760390329</v>
      </c>
      <c r="I9" s="8">
        <f>'Scoreblad B-O-T-V'!I11</f>
        <v>106.60000000000002</v>
      </c>
      <c r="J9" s="8">
        <f>'Scoreblad B-O-T-V'!J11</f>
        <v>90.610000000000014</v>
      </c>
      <c r="K9" s="8">
        <f t="shared" si="4"/>
        <v>1.6046823960967345</v>
      </c>
      <c r="L9" s="45">
        <f>SUM(M6:M9)</f>
        <v>-50.657061347871689</v>
      </c>
      <c r="M9" s="8">
        <f t="shared" si="5"/>
        <v>-14.385317603903275</v>
      </c>
      <c r="N9" s="41">
        <f>IF(SUM(J6:J9)&gt;5,SUM(M6:M9)/SUM(J6:J9),"Blinde vlek")</f>
        <v>-0.11079642530679129</v>
      </c>
      <c r="O9" s="10">
        <f t="shared" si="6"/>
        <v>-0.15876081672997763</v>
      </c>
      <c r="P9" s="45">
        <f>SUM(Q6:Q9)</f>
        <v>506</v>
      </c>
      <c r="Q9" s="8">
        <f>'Scoreblad B-O-T-V'!Q11</f>
        <v>104</v>
      </c>
      <c r="R9" s="8">
        <f>'Scoreblad B-O-T-V'!R11</f>
        <v>70</v>
      </c>
      <c r="S9" s="8">
        <f>'Scoreblad B-O-T-V'!S11</f>
        <v>34</v>
      </c>
      <c r="T9" s="8">
        <f>'Scoreblad B-O-T-V'!T11</f>
        <v>3</v>
      </c>
      <c r="U9" s="8">
        <f t="shared" si="22"/>
        <v>31</v>
      </c>
      <c r="V9" s="10">
        <f t="shared" si="7"/>
        <v>0.29807692307692307</v>
      </c>
      <c r="W9" s="8" t="str">
        <f t="shared" si="8"/>
        <v>C</v>
      </c>
      <c r="X9" s="45">
        <f>SUM(U6:U9)</f>
        <v>37</v>
      </c>
      <c r="Y9" s="8" t="str">
        <f t="shared" si="9"/>
        <v>B</v>
      </c>
      <c r="Z9" s="28" t="s">
        <v>30</v>
      </c>
      <c r="AA9" s="19" t="str">
        <f t="shared" si="10"/>
        <v>Veurne</v>
      </c>
      <c r="AB9" s="96">
        <v>1</v>
      </c>
      <c r="AC9" s="44">
        <f t="shared" si="11"/>
        <v>1</v>
      </c>
      <c r="AD9" s="44">
        <f t="shared" si="12"/>
        <v>1</v>
      </c>
      <c r="AE9" s="44">
        <f t="shared" si="13"/>
        <v>0</v>
      </c>
      <c r="AF9" s="44">
        <f t="shared" si="14"/>
        <v>1</v>
      </c>
      <c r="AG9" s="8">
        <f t="shared" si="15"/>
        <v>16.614682396096725</v>
      </c>
      <c r="AH9" s="8">
        <f t="shared" si="16"/>
        <v>17.614682396096725</v>
      </c>
      <c r="AI9" s="8">
        <f t="shared" si="17"/>
        <v>73</v>
      </c>
      <c r="AJ9" s="10">
        <f t="shared" si="18"/>
        <v>0.22759838898762638</v>
      </c>
      <c r="AK9" s="17">
        <f t="shared" si="19"/>
        <v>0</v>
      </c>
      <c r="AL9" s="54">
        <f t="shared" si="23"/>
        <v>0</v>
      </c>
      <c r="AM9" s="34">
        <f t="shared" si="20"/>
        <v>0</v>
      </c>
      <c r="AN9" s="34" t="str">
        <f t="shared" si="24"/>
        <v>D</v>
      </c>
    </row>
    <row r="10" spans="1:46" x14ac:dyDescent="0.3">
      <c r="A10" s="15" t="s">
        <v>31</v>
      </c>
      <c r="B10" s="40" t="str">
        <f>'Scoreblad B-O-T-V'!B12</f>
        <v>Brugge</v>
      </c>
      <c r="C10" s="175">
        <f>'Scoreblad B-O-T-V'!C12</f>
        <v>37</v>
      </c>
      <c r="D10" s="178" t="str">
        <f t="shared" si="21"/>
        <v>B-O-T-V</v>
      </c>
      <c r="E10" s="9" t="str">
        <f t="shared" si="2"/>
        <v>B</v>
      </c>
      <c r="F10" s="9" t="str">
        <f t="shared" si="3"/>
        <v>A</v>
      </c>
      <c r="G10" s="45">
        <f>SUM(H10:H13)</f>
        <v>701.12476195071906</v>
      </c>
      <c r="H10" s="8">
        <f>'Scoreblad B-O-T-V'!H12</f>
        <v>273.58529264932423</v>
      </c>
      <c r="I10" s="8">
        <f>'Scoreblad B-O-T-V'!I12</f>
        <v>214.56603080353898</v>
      </c>
      <c r="J10" s="8">
        <f>'Scoreblad B-O-T-V'!J12</f>
        <v>182.38112618300812</v>
      </c>
      <c r="K10" s="8">
        <f t="shared" si="4"/>
        <v>-59.019261845785252</v>
      </c>
      <c r="L10" s="45">
        <f>SUM(M10:M13)</f>
        <v>-91.055943547770937</v>
      </c>
      <c r="M10" s="8">
        <f t="shared" si="5"/>
        <v>-91.20416646631611</v>
      </c>
      <c r="N10" s="41">
        <f>IF(SUM(J10:J13)&gt;5,SUM(M10:M13)/SUM(J10:J13),"Blinde vlek")</f>
        <v>-0.14925520007093501</v>
      </c>
      <c r="O10" s="10">
        <f t="shared" si="6"/>
        <v>-0.50007458762371282</v>
      </c>
      <c r="P10" s="45">
        <f>SUM(Q10:Q13)</f>
        <v>699</v>
      </c>
      <c r="Q10" s="8">
        <f>'Scoreblad B-O-T-V'!Q12</f>
        <v>274</v>
      </c>
      <c r="R10" s="8">
        <f>'Scoreblad B-O-T-V'!R12</f>
        <v>191</v>
      </c>
      <c r="S10" s="8">
        <f>'Scoreblad B-O-T-V'!S12</f>
        <v>83</v>
      </c>
      <c r="T10" s="8">
        <f>'Scoreblad B-O-T-V'!T12</f>
        <v>15</v>
      </c>
      <c r="U10" s="8">
        <f t="shared" si="22"/>
        <v>68</v>
      </c>
      <c r="V10" s="10">
        <f t="shared" si="7"/>
        <v>0.24817518248175183</v>
      </c>
      <c r="W10" s="8" t="str">
        <f t="shared" si="8"/>
        <v>C</v>
      </c>
      <c r="X10" s="45">
        <f>SUM(U10:U13)</f>
        <v>31</v>
      </c>
      <c r="Y10" s="8" t="str">
        <f t="shared" si="9"/>
        <v>B</v>
      </c>
      <c r="Z10" s="24" t="s">
        <v>31</v>
      </c>
      <c r="AA10" s="19" t="str">
        <f t="shared" si="10"/>
        <v>Brugge</v>
      </c>
      <c r="AB10" s="96">
        <v>1</v>
      </c>
      <c r="AC10" s="44">
        <f t="shared" si="11"/>
        <v>2</v>
      </c>
      <c r="AD10" s="44">
        <f t="shared" si="12"/>
        <v>1</v>
      </c>
      <c r="AE10" s="44">
        <f t="shared" si="13"/>
        <v>0</v>
      </c>
      <c r="AF10" s="44">
        <f t="shared" si="14"/>
        <v>1</v>
      </c>
      <c r="AG10" s="8">
        <f t="shared" si="15"/>
        <v>-23.20416646631611</v>
      </c>
      <c r="AH10" s="8">
        <f t="shared" si="16"/>
        <v>-22.20416646631611</v>
      </c>
      <c r="AI10" s="8">
        <f t="shared" si="17"/>
        <v>206</v>
      </c>
      <c r="AJ10" s="10">
        <f t="shared" si="18"/>
        <v>-0.11264158478794228</v>
      </c>
      <c r="AK10" s="17">
        <f t="shared" si="19"/>
        <v>1</v>
      </c>
      <c r="AL10" s="73">
        <f>AK10*SUM(AC10:AF10)*$AQ$6</f>
        <v>2.4</v>
      </c>
      <c r="AM10" s="34">
        <f t="shared" si="20"/>
        <v>2.4</v>
      </c>
      <c r="AN10" s="34" t="str">
        <f t="shared" si="24"/>
        <v>C</v>
      </c>
    </row>
    <row r="11" spans="1:46" x14ac:dyDescent="0.3">
      <c r="A11" s="15" t="s">
        <v>31</v>
      </c>
      <c r="B11" s="40" t="str">
        <f>'Scoreblad B-O-T-V'!B13</f>
        <v>Oostende</v>
      </c>
      <c r="C11" s="175">
        <f>'Scoreblad B-O-T-V'!C13</f>
        <v>40</v>
      </c>
      <c r="D11" s="178" t="str">
        <f t="shared" si="21"/>
        <v>B-O-T-V</v>
      </c>
      <c r="E11" s="9" t="str">
        <f t="shared" si="2"/>
        <v>B</v>
      </c>
      <c r="F11" s="9" t="str">
        <f t="shared" si="3"/>
        <v>A</v>
      </c>
      <c r="G11" s="45">
        <f>SUM(H10:H13)</f>
        <v>701.12476195071906</v>
      </c>
      <c r="H11" s="8">
        <f>'Scoreblad B-O-T-V'!H13</f>
        <v>114.68297122686856</v>
      </c>
      <c r="I11" s="8">
        <f>'Scoreblad B-O-T-V'!I13</f>
        <v>101.24041144599703</v>
      </c>
      <c r="J11" s="8">
        <f>'Scoreblad B-O-T-V'!J13</f>
        <v>86.054349729097467</v>
      </c>
      <c r="K11" s="8">
        <f t="shared" si="4"/>
        <v>-13.442559780871534</v>
      </c>
      <c r="L11" s="45">
        <f>SUM(M10:M13)</f>
        <v>-91.055943547770937</v>
      </c>
      <c r="M11" s="8">
        <f t="shared" si="5"/>
        <v>-28.628621497771093</v>
      </c>
      <c r="N11" s="41">
        <f>IF(SUM(J10:J13)&gt;5,SUM(M10:M13)/SUM(J10:J13),"Blinde vlek")</f>
        <v>-0.14925520007093501</v>
      </c>
      <c r="O11" s="10">
        <f t="shared" si="6"/>
        <v>-0.3326807022294066</v>
      </c>
      <c r="P11" s="45">
        <f>SUM(Q10:Q13)</f>
        <v>699</v>
      </c>
      <c r="Q11" s="8">
        <f>'Scoreblad B-O-T-V'!Q13</f>
        <v>114</v>
      </c>
      <c r="R11" s="8">
        <f>'Scoreblad B-O-T-V'!R13</f>
        <v>110</v>
      </c>
      <c r="S11" s="8">
        <f>'Scoreblad B-O-T-V'!S13</f>
        <v>4</v>
      </c>
      <c r="T11" s="8">
        <f>'Scoreblad B-O-T-V'!T13</f>
        <v>58</v>
      </c>
      <c r="U11" s="8">
        <f t="shared" si="22"/>
        <v>-54</v>
      </c>
      <c r="V11" s="10">
        <f t="shared" si="7"/>
        <v>-0.47368421052631576</v>
      </c>
      <c r="W11" s="8" t="str">
        <f t="shared" si="8"/>
        <v>A</v>
      </c>
      <c r="X11" s="45">
        <f>SUM(U10:U13)</f>
        <v>31</v>
      </c>
      <c r="Y11" s="8" t="str">
        <f t="shared" si="9"/>
        <v>B</v>
      </c>
      <c r="Z11" s="24" t="s">
        <v>31</v>
      </c>
      <c r="AA11" s="19" t="str">
        <f t="shared" si="10"/>
        <v>Oostende</v>
      </c>
      <c r="AB11" s="96">
        <v>1</v>
      </c>
      <c r="AC11" s="44">
        <f t="shared" si="11"/>
        <v>2</v>
      </c>
      <c r="AD11" s="44">
        <f t="shared" si="12"/>
        <v>1</v>
      </c>
      <c r="AE11" s="44">
        <f t="shared" si="13"/>
        <v>2</v>
      </c>
      <c r="AF11" s="44">
        <f t="shared" si="14"/>
        <v>1</v>
      </c>
      <c r="AG11" s="8">
        <f t="shared" si="15"/>
        <v>-82.628621497771093</v>
      </c>
      <c r="AH11" s="8">
        <f t="shared" si="16"/>
        <v>-81.628621497771093</v>
      </c>
      <c r="AI11" s="8">
        <f t="shared" si="17"/>
        <v>168</v>
      </c>
      <c r="AJ11" s="10">
        <f t="shared" si="18"/>
        <v>-0.49183703272482793</v>
      </c>
      <c r="AK11" s="17">
        <f t="shared" si="19"/>
        <v>1</v>
      </c>
      <c r="AL11" s="73">
        <f t="shared" ref="AL11:AL13" si="25">AK11*SUM(AC11:AF11)*$AQ$6</f>
        <v>3.5999999999999996</v>
      </c>
      <c r="AM11" s="34">
        <f t="shared" si="20"/>
        <v>3.5999999999999996</v>
      </c>
      <c r="AN11" s="34" t="str">
        <f t="shared" si="24"/>
        <v>C</v>
      </c>
    </row>
    <row r="12" spans="1:46" x14ac:dyDescent="0.3">
      <c r="A12" s="15" t="s">
        <v>31</v>
      </c>
      <c r="B12" s="40" t="str">
        <f>'Scoreblad B-O-T-V'!B14</f>
        <v>Torhout</v>
      </c>
      <c r="C12" s="175">
        <f>'Scoreblad B-O-T-V'!C14</f>
        <v>42</v>
      </c>
      <c r="D12" s="178" t="str">
        <f t="shared" si="21"/>
        <v>B-O-T-V</v>
      </c>
      <c r="E12" s="9" t="str">
        <f t="shared" si="2"/>
        <v>B</v>
      </c>
      <c r="F12" s="9" t="str">
        <f t="shared" si="3"/>
        <v>C</v>
      </c>
      <c r="G12" s="45">
        <f>SUM(H10:H13)</f>
        <v>701.12476195071906</v>
      </c>
      <c r="H12" s="8">
        <f>'Scoreblad B-O-T-V'!H14</f>
        <v>171.56986800118784</v>
      </c>
      <c r="I12" s="8">
        <f>'Scoreblad B-O-T-V'!I14</f>
        <v>242.95491273432455</v>
      </c>
      <c r="J12" s="8">
        <f>'Scoreblad B-O-T-V'!J14</f>
        <v>206.51167582417585</v>
      </c>
      <c r="K12" s="8">
        <f t="shared" si="4"/>
        <v>71.385044733136709</v>
      </c>
      <c r="L12" s="45">
        <f>SUM(M10:M13)</f>
        <v>-91.055943547770937</v>
      </c>
      <c r="M12" s="8">
        <f t="shared" si="5"/>
        <v>34.941807822988011</v>
      </c>
      <c r="N12" s="41">
        <f>IF(SUM(J10:J13)&gt;5,SUM(M10:M13)/SUM(J10:J13),"Blinde vlek")</f>
        <v>-0.14925520007093501</v>
      </c>
      <c r="O12" s="10">
        <f t="shared" si="6"/>
        <v>0.16920015627948071</v>
      </c>
      <c r="P12" s="45">
        <f>SUM(Q10:Q13)</f>
        <v>699</v>
      </c>
      <c r="Q12" s="8">
        <f>'Scoreblad B-O-T-V'!Q14</f>
        <v>171</v>
      </c>
      <c r="R12" s="8">
        <f>'Scoreblad B-O-T-V'!R14</f>
        <v>112</v>
      </c>
      <c r="S12" s="8">
        <f>'Scoreblad B-O-T-V'!S14</f>
        <v>59</v>
      </c>
      <c r="T12" s="8">
        <f>'Scoreblad B-O-T-V'!T14</f>
        <v>51</v>
      </c>
      <c r="U12" s="8">
        <f t="shared" si="22"/>
        <v>8</v>
      </c>
      <c r="V12" s="10">
        <f t="shared" si="7"/>
        <v>4.6783625730994149E-2</v>
      </c>
      <c r="W12" s="8" t="str">
        <f t="shared" si="8"/>
        <v>B</v>
      </c>
      <c r="X12" s="45">
        <f>SUM(U10:U13)</f>
        <v>31</v>
      </c>
      <c r="Y12" s="8" t="str">
        <f t="shared" si="9"/>
        <v>B</v>
      </c>
      <c r="Z12" s="24" t="s">
        <v>31</v>
      </c>
      <c r="AA12" s="19" t="str">
        <f t="shared" si="10"/>
        <v>Torhout</v>
      </c>
      <c r="AB12" s="96">
        <v>1</v>
      </c>
      <c r="AC12" s="44">
        <f t="shared" si="11"/>
        <v>0</v>
      </c>
      <c r="AD12" s="44">
        <f t="shared" si="12"/>
        <v>1</v>
      </c>
      <c r="AE12" s="44">
        <f t="shared" si="13"/>
        <v>1</v>
      </c>
      <c r="AF12" s="44">
        <f t="shared" si="14"/>
        <v>1</v>
      </c>
      <c r="AG12" s="8">
        <f t="shared" si="15"/>
        <v>42.941807822988011</v>
      </c>
      <c r="AH12" s="8">
        <f t="shared" si="16"/>
        <v>43.941807822988011</v>
      </c>
      <c r="AI12" s="8">
        <f t="shared" si="17"/>
        <v>163</v>
      </c>
      <c r="AJ12" s="10">
        <f t="shared" si="18"/>
        <v>0.26344667376066266</v>
      </c>
      <c r="AK12" s="17">
        <f t="shared" si="19"/>
        <v>0</v>
      </c>
      <c r="AL12" s="73">
        <f t="shared" si="25"/>
        <v>0</v>
      </c>
      <c r="AM12" s="34">
        <f t="shared" si="20"/>
        <v>0</v>
      </c>
      <c r="AN12" s="34" t="str">
        <f t="shared" si="24"/>
        <v>D</v>
      </c>
    </row>
    <row r="13" spans="1:46" x14ac:dyDescent="0.3">
      <c r="A13" s="15" t="s">
        <v>31</v>
      </c>
      <c r="B13" s="40" t="str">
        <f>'Scoreblad B-O-T-V'!B15</f>
        <v>Veurne</v>
      </c>
      <c r="C13" s="175">
        <f>'Scoreblad B-O-T-V'!C15</f>
        <v>43</v>
      </c>
      <c r="D13" s="178" t="str">
        <f t="shared" si="21"/>
        <v>B-O-T-V</v>
      </c>
      <c r="E13" s="9" t="str">
        <f t="shared" si="2"/>
        <v>B</v>
      </c>
      <c r="F13" s="9" t="str">
        <f t="shared" si="3"/>
        <v>B</v>
      </c>
      <c r="G13" s="45">
        <f>SUM(H10:H13)</f>
        <v>701.12476195071906</v>
      </c>
      <c r="H13" s="8">
        <f>'Scoreblad B-O-T-V'!H15</f>
        <v>141.28663007333842</v>
      </c>
      <c r="I13" s="8">
        <f>'Scoreblad B-O-T-V'!I15</f>
        <v>158.96666666666667</v>
      </c>
      <c r="J13" s="8">
        <f>'Scoreblad B-O-T-V'!J15</f>
        <v>135.12166666666667</v>
      </c>
      <c r="K13" s="8">
        <f t="shared" si="4"/>
        <v>17.680036593328254</v>
      </c>
      <c r="L13" s="45">
        <f>SUM(M10:M13)</f>
        <v>-91.055943547770937</v>
      </c>
      <c r="M13" s="8">
        <f t="shared" si="5"/>
        <v>-6.1649634066717454</v>
      </c>
      <c r="N13" s="41">
        <f>IF(SUM(J10:J13)&gt;5,SUM(M10:M13)/SUM(J10:J13),"Blinde vlek")</f>
        <v>-0.14925520007093501</v>
      </c>
      <c r="O13" s="10">
        <f t="shared" si="6"/>
        <v>-4.5625276528598262E-2</v>
      </c>
      <c r="P13" s="45">
        <f>SUM(Q10:Q13)</f>
        <v>699</v>
      </c>
      <c r="Q13" s="8">
        <f>'Scoreblad B-O-T-V'!Q15</f>
        <v>140</v>
      </c>
      <c r="R13" s="8">
        <f>'Scoreblad B-O-T-V'!R15</f>
        <v>108</v>
      </c>
      <c r="S13" s="8">
        <f>'Scoreblad B-O-T-V'!S15</f>
        <v>32</v>
      </c>
      <c r="T13" s="8">
        <f>'Scoreblad B-O-T-V'!T15</f>
        <v>23</v>
      </c>
      <c r="U13" s="8">
        <f t="shared" si="22"/>
        <v>9</v>
      </c>
      <c r="V13" s="10">
        <f t="shared" si="7"/>
        <v>6.4285714285714279E-2</v>
      </c>
      <c r="W13" s="8" t="str">
        <f t="shared" si="8"/>
        <v>B</v>
      </c>
      <c r="X13" s="45">
        <f>SUM(U10:U13)</f>
        <v>31</v>
      </c>
      <c r="Y13" s="8" t="str">
        <f t="shared" si="9"/>
        <v>B</v>
      </c>
      <c r="Z13" s="24" t="s">
        <v>31</v>
      </c>
      <c r="AA13" s="19" t="str">
        <f t="shared" si="10"/>
        <v>Veurne</v>
      </c>
      <c r="AB13" s="96">
        <v>1</v>
      </c>
      <c r="AC13" s="44">
        <f t="shared" si="11"/>
        <v>1</v>
      </c>
      <c r="AD13" s="44">
        <f t="shared" si="12"/>
        <v>1</v>
      </c>
      <c r="AE13" s="44">
        <f t="shared" si="13"/>
        <v>1</v>
      </c>
      <c r="AF13" s="44">
        <f t="shared" si="14"/>
        <v>1</v>
      </c>
      <c r="AG13" s="8">
        <f t="shared" si="15"/>
        <v>2.8350365933282546</v>
      </c>
      <c r="AH13" s="8">
        <f t="shared" si="16"/>
        <v>3.8350365933282546</v>
      </c>
      <c r="AI13" s="8">
        <f t="shared" si="17"/>
        <v>131</v>
      </c>
      <c r="AJ13" s="10">
        <f t="shared" si="18"/>
        <v>2.1641500712429425E-2</v>
      </c>
      <c r="AK13" s="17">
        <f t="shared" si="19"/>
        <v>0</v>
      </c>
      <c r="AL13" s="73">
        <f t="shared" si="25"/>
        <v>0</v>
      </c>
      <c r="AM13" s="34">
        <f t="shared" si="20"/>
        <v>0</v>
      </c>
      <c r="AN13" s="34" t="str">
        <f t="shared" si="24"/>
        <v>D</v>
      </c>
    </row>
    <row r="14" spans="1:46" x14ac:dyDescent="0.3">
      <c r="A14" s="14" t="s">
        <v>32</v>
      </c>
      <c r="B14" s="40" t="str">
        <f>'Scoreblad B-O-T-V'!B16</f>
        <v>Brugge</v>
      </c>
      <c r="C14" s="175">
        <f>'Scoreblad B-O-T-V'!C16</f>
        <v>37</v>
      </c>
      <c r="D14" s="178" t="str">
        <f t="shared" si="21"/>
        <v>B-O-T-V</v>
      </c>
      <c r="E14" s="9" t="str">
        <f t="shared" si="2"/>
        <v>B</v>
      </c>
      <c r="F14" s="9" t="str">
        <f t="shared" si="3"/>
        <v>B</v>
      </c>
      <c r="G14" s="45">
        <f>SUM(H14:H17)</f>
        <v>919.54488369063642</v>
      </c>
      <c r="H14" s="8">
        <f>'Scoreblad B-O-T-V'!H16</f>
        <v>375.1937415466557</v>
      </c>
      <c r="I14" s="8">
        <f>'Scoreblad B-O-T-V'!I16</f>
        <v>366.30952368608479</v>
      </c>
      <c r="J14" s="8">
        <f>'Scoreblad B-O-T-V'!J16</f>
        <v>311.36309513317207</v>
      </c>
      <c r="K14" s="8">
        <f t="shared" si="4"/>
        <v>-8.8842178605709137</v>
      </c>
      <c r="L14" s="45">
        <f>SUM(M14:M17)</f>
        <v>-22.997144497820386</v>
      </c>
      <c r="M14" s="8">
        <f t="shared" si="5"/>
        <v>-63.830646413483635</v>
      </c>
      <c r="N14" s="41">
        <f>IF(SUM(J14:J17)&gt;5,SUM(M14:M17)/SUM(J14:J17),"Blinde vlek")</f>
        <v>-2.5650775181838371E-2</v>
      </c>
      <c r="O14" s="10">
        <f t="shared" si="6"/>
        <v>-0.20500389227625979</v>
      </c>
      <c r="P14" s="45">
        <f>SUM(Q14:Q17)</f>
        <v>916</v>
      </c>
      <c r="Q14" s="8">
        <f>'Scoreblad B-O-T-V'!Q16</f>
        <v>376</v>
      </c>
      <c r="R14" s="8">
        <f>'Scoreblad B-O-T-V'!R16</f>
        <v>332</v>
      </c>
      <c r="S14" s="8">
        <f>'Scoreblad B-O-T-V'!S16</f>
        <v>44</v>
      </c>
      <c r="T14" s="8">
        <f>'Scoreblad B-O-T-V'!T16</f>
        <v>19</v>
      </c>
      <c r="U14" s="8">
        <f t="shared" si="22"/>
        <v>25</v>
      </c>
      <c r="V14" s="10">
        <f t="shared" si="7"/>
        <v>6.6489361702127658E-2</v>
      </c>
      <c r="W14" s="8" t="str">
        <f t="shared" si="8"/>
        <v>B</v>
      </c>
      <c r="X14" s="45">
        <f>SUM(U14:U17)</f>
        <v>39</v>
      </c>
      <c r="Y14" s="8" t="str">
        <f t="shared" si="9"/>
        <v>B</v>
      </c>
      <c r="Z14" s="28" t="s">
        <v>32</v>
      </c>
      <c r="AA14" s="19" t="str">
        <f t="shared" si="10"/>
        <v>Brugge</v>
      </c>
      <c r="AB14" s="96">
        <v>1</v>
      </c>
      <c r="AC14" s="44">
        <f t="shared" si="11"/>
        <v>1</v>
      </c>
      <c r="AD14" s="44">
        <f t="shared" si="12"/>
        <v>1</v>
      </c>
      <c r="AE14" s="44">
        <f t="shared" si="13"/>
        <v>1</v>
      </c>
      <c r="AF14" s="44">
        <f t="shared" si="14"/>
        <v>1</v>
      </c>
      <c r="AG14" s="8">
        <f t="shared" si="15"/>
        <v>-38.830646413483635</v>
      </c>
      <c r="AH14" s="8">
        <f t="shared" si="16"/>
        <v>-37.830646413483635</v>
      </c>
      <c r="AI14" s="8">
        <f t="shared" si="17"/>
        <v>351</v>
      </c>
      <c r="AJ14" s="10">
        <f t="shared" si="18"/>
        <v>-0.11062862226063713</v>
      </c>
      <c r="AK14" s="17">
        <f t="shared" si="19"/>
        <v>1</v>
      </c>
      <c r="AL14" s="54">
        <f t="shared" si="23"/>
        <v>4</v>
      </c>
      <c r="AM14" s="34">
        <f t="shared" si="20"/>
        <v>4</v>
      </c>
      <c r="AN14" s="34" t="str">
        <f t="shared" si="24"/>
        <v>B</v>
      </c>
    </row>
    <row r="15" spans="1:46" x14ac:dyDescent="0.3">
      <c r="A15" s="14" t="s">
        <v>32</v>
      </c>
      <c r="B15" s="40" t="str">
        <f>'Scoreblad B-O-T-V'!B17</f>
        <v>Oostende</v>
      </c>
      <c r="C15" s="175">
        <f>'Scoreblad B-O-T-V'!C17</f>
        <v>40</v>
      </c>
      <c r="D15" s="178" t="str">
        <f t="shared" si="21"/>
        <v>B-O-T-V</v>
      </c>
      <c r="E15" s="9" t="str">
        <f t="shared" si="2"/>
        <v>B</v>
      </c>
      <c r="F15" s="9" t="str">
        <f t="shared" si="3"/>
        <v>B</v>
      </c>
      <c r="G15" s="45">
        <f>SUM(H14:H17)</f>
        <v>919.54488369063642</v>
      </c>
      <c r="H15" s="8">
        <f>'Scoreblad B-O-T-V'!H17</f>
        <v>170.23946630061332</v>
      </c>
      <c r="I15" s="8">
        <f>'Scoreblad B-O-T-V'!I17</f>
        <v>211.9175084175084</v>
      </c>
      <c r="J15" s="8">
        <f>'Scoreblad B-O-T-V'!J17</f>
        <v>180.12988215488213</v>
      </c>
      <c r="K15" s="8">
        <f t="shared" si="4"/>
        <v>41.678042116895085</v>
      </c>
      <c r="L15" s="45">
        <f>SUM(M14:M17)</f>
        <v>-22.997144497820386</v>
      </c>
      <c r="M15" s="8">
        <f t="shared" si="5"/>
        <v>9.8904158542688094</v>
      </c>
      <c r="N15" s="41">
        <f>IF(SUM(J14:J17)&gt;5,SUM(M14:M17)/SUM(J14:J17),"Blinde vlek")</f>
        <v>-2.5650775181838371E-2</v>
      </c>
      <c r="O15" s="10">
        <f t="shared" si="6"/>
        <v>5.4907135539924885E-2</v>
      </c>
      <c r="P15" s="45">
        <f>SUM(Q14:Q17)</f>
        <v>916</v>
      </c>
      <c r="Q15" s="8">
        <f>'Scoreblad B-O-T-V'!Q17</f>
        <v>169</v>
      </c>
      <c r="R15" s="8">
        <f>'Scoreblad B-O-T-V'!R17</f>
        <v>161</v>
      </c>
      <c r="S15" s="8">
        <f>'Scoreblad B-O-T-V'!S17</f>
        <v>8</v>
      </c>
      <c r="T15" s="8">
        <f>'Scoreblad B-O-T-V'!T17</f>
        <v>51</v>
      </c>
      <c r="U15" s="8">
        <f t="shared" si="22"/>
        <v>-43</v>
      </c>
      <c r="V15" s="10">
        <f t="shared" si="7"/>
        <v>-0.25443786982248523</v>
      </c>
      <c r="W15" s="8" t="str">
        <f t="shared" si="8"/>
        <v>A</v>
      </c>
      <c r="X15" s="45">
        <f>SUM(U14:U17)</f>
        <v>39</v>
      </c>
      <c r="Y15" s="8" t="str">
        <f t="shared" si="9"/>
        <v>B</v>
      </c>
      <c r="Z15" s="28" t="s">
        <v>32</v>
      </c>
      <c r="AA15" s="19" t="str">
        <f t="shared" si="10"/>
        <v>Oostende</v>
      </c>
      <c r="AB15" s="96">
        <v>1</v>
      </c>
      <c r="AC15" s="44">
        <f t="shared" si="11"/>
        <v>1</v>
      </c>
      <c r="AD15" s="44">
        <f t="shared" si="12"/>
        <v>1</v>
      </c>
      <c r="AE15" s="44">
        <f t="shared" si="13"/>
        <v>2</v>
      </c>
      <c r="AF15" s="44">
        <f t="shared" si="14"/>
        <v>1</v>
      </c>
      <c r="AG15" s="8">
        <f t="shared" si="15"/>
        <v>-33.109584145731191</v>
      </c>
      <c r="AH15" s="8">
        <f t="shared" si="16"/>
        <v>-32.109584145731191</v>
      </c>
      <c r="AI15" s="8">
        <f t="shared" si="17"/>
        <v>212</v>
      </c>
      <c r="AJ15" s="10">
        <f t="shared" si="18"/>
        <v>-0.1561772837062792</v>
      </c>
      <c r="AK15" s="17">
        <f t="shared" si="19"/>
        <v>1</v>
      </c>
      <c r="AL15" s="54">
        <f t="shared" si="23"/>
        <v>5</v>
      </c>
      <c r="AM15" s="34">
        <f t="shared" si="20"/>
        <v>5</v>
      </c>
      <c r="AN15" s="34" t="str">
        <f t="shared" si="24"/>
        <v>B</v>
      </c>
    </row>
    <row r="16" spans="1:46" x14ac:dyDescent="0.3">
      <c r="A16" s="14" t="s">
        <v>32</v>
      </c>
      <c r="B16" s="40" t="str">
        <f>'Scoreblad B-O-T-V'!B18</f>
        <v>Torhout</v>
      </c>
      <c r="C16" s="175">
        <f>'Scoreblad B-O-T-V'!C18</f>
        <v>42</v>
      </c>
      <c r="D16" s="178" t="str">
        <f t="shared" si="21"/>
        <v>B-O-T-V</v>
      </c>
      <c r="E16" s="9" t="str">
        <f t="shared" si="2"/>
        <v>B</v>
      </c>
      <c r="F16" s="9" t="str">
        <f t="shared" si="3"/>
        <v>B</v>
      </c>
      <c r="G16" s="45">
        <f>SUM(H14:H17)</f>
        <v>919.54488369063642</v>
      </c>
      <c r="H16" s="8">
        <f>'Scoreblad B-O-T-V'!H18</f>
        <v>177.67193391184836</v>
      </c>
      <c r="I16" s="8">
        <f>'Scoreblad B-O-T-V'!I18</f>
        <v>178.50168067226889</v>
      </c>
      <c r="J16" s="8">
        <f>'Scoreblad B-O-T-V'!J18</f>
        <v>151.72642857142856</v>
      </c>
      <c r="K16" s="8">
        <f t="shared" si="4"/>
        <v>0.82974676042053375</v>
      </c>
      <c r="L16" s="45">
        <f>SUM(M14:M17)</f>
        <v>-22.997144497820386</v>
      </c>
      <c r="M16" s="8">
        <f t="shared" si="5"/>
        <v>-25.9455053404198</v>
      </c>
      <c r="N16" s="41">
        <f>IF(SUM(J14:J17)&gt;5,SUM(M14:M17)/SUM(J14:J17),"Blinde vlek")</f>
        <v>-2.5650775181838371E-2</v>
      </c>
      <c r="O16" s="10">
        <f t="shared" si="6"/>
        <v>-0.17100188533209548</v>
      </c>
      <c r="P16" s="45">
        <f>SUM(Q14:Q17)</f>
        <v>916</v>
      </c>
      <c r="Q16" s="8">
        <f>'Scoreblad B-O-T-V'!Q18</f>
        <v>177</v>
      </c>
      <c r="R16" s="8">
        <f>'Scoreblad B-O-T-V'!R18</f>
        <v>103</v>
      </c>
      <c r="S16" s="8">
        <f>'Scoreblad B-O-T-V'!S18</f>
        <v>74</v>
      </c>
      <c r="T16" s="8">
        <f>'Scoreblad B-O-T-V'!T18</f>
        <v>32</v>
      </c>
      <c r="U16" s="8">
        <f t="shared" si="22"/>
        <v>42</v>
      </c>
      <c r="V16" s="10">
        <f t="shared" si="7"/>
        <v>0.23728813559322035</v>
      </c>
      <c r="W16" s="8" t="str">
        <f t="shared" si="8"/>
        <v>C</v>
      </c>
      <c r="X16" s="45">
        <f>SUM(U14:U17)</f>
        <v>39</v>
      </c>
      <c r="Y16" s="8" t="str">
        <f t="shared" si="9"/>
        <v>B</v>
      </c>
      <c r="Z16" s="28" t="s">
        <v>32</v>
      </c>
      <c r="AA16" s="19" t="str">
        <f t="shared" si="10"/>
        <v>Torhout</v>
      </c>
      <c r="AB16" s="96">
        <v>1</v>
      </c>
      <c r="AC16" s="44">
        <f t="shared" si="11"/>
        <v>1</v>
      </c>
      <c r="AD16" s="44">
        <f t="shared" si="12"/>
        <v>1</v>
      </c>
      <c r="AE16" s="44">
        <f t="shared" si="13"/>
        <v>0</v>
      </c>
      <c r="AF16" s="44">
        <f t="shared" si="14"/>
        <v>1</v>
      </c>
      <c r="AG16" s="8">
        <f t="shared" si="15"/>
        <v>16.0544946595802</v>
      </c>
      <c r="AH16" s="8">
        <f t="shared" si="16"/>
        <v>17.0544946595802</v>
      </c>
      <c r="AI16" s="8">
        <f t="shared" si="17"/>
        <v>135</v>
      </c>
      <c r="AJ16" s="10">
        <f t="shared" si="18"/>
        <v>0.11892218266355704</v>
      </c>
      <c r="AK16" s="17">
        <f t="shared" si="19"/>
        <v>0</v>
      </c>
      <c r="AL16" s="54">
        <f t="shared" si="23"/>
        <v>0</v>
      </c>
      <c r="AM16" s="34">
        <f t="shared" si="20"/>
        <v>0</v>
      </c>
      <c r="AN16" s="34" t="str">
        <f t="shared" si="24"/>
        <v>D</v>
      </c>
    </row>
    <row r="17" spans="1:40" x14ac:dyDescent="0.3">
      <c r="A17" s="14" t="s">
        <v>32</v>
      </c>
      <c r="B17" s="40" t="str">
        <f>'Scoreblad B-O-T-V'!B19</f>
        <v>Veurne</v>
      </c>
      <c r="C17" s="175">
        <f>'Scoreblad B-O-T-V'!C19</f>
        <v>43</v>
      </c>
      <c r="D17" s="178" t="str">
        <f t="shared" si="21"/>
        <v>B-O-T-V</v>
      </c>
      <c r="E17" s="9" t="str">
        <f t="shared" si="2"/>
        <v>B</v>
      </c>
      <c r="F17" s="9" t="str">
        <f t="shared" si="3"/>
        <v>C</v>
      </c>
      <c r="G17" s="45">
        <f>SUM(H14:H17)</f>
        <v>919.54488369063642</v>
      </c>
      <c r="H17" s="8">
        <f>'Scoreblad B-O-T-V'!H19</f>
        <v>196.43974193151905</v>
      </c>
      <c r="I17" s="8">
        <f>'Scoreblad B-O-T-V'!I19</f>
        <v>298.0333333333333</v>
      </c>
      <c r="J17" s="8">
        <f>'Scoreblad B-O-T-V'!J19</f>
        <v>253.32833333333329</v>
      </c>
      <c r="K17" s="8">
        <f t="shared" si="4"/>
        <v>101.59359140181425</v>
      </c>
      <c r="L17" s="45">
        <f>SUM(M14:M17)</f>
        <v>-22.997144497820386</v>
      </c>
      <c r="M17" s="8">
        <f t="shared" si="5"/>
        <v>56.888591401814239</v>
      </c>
      <c r="N17" s="41">
        <f>IF(SUM(J14:J17)&gt;5,SUM(M14:M17)/SUM(J14:J17),"Blinde vlek")</f>
        <v>-2.5650775181838371E-2</v>
      </c>
      <c r="O17" s="10">
        <f t="shared" si="6"/>
        <v>0.2245646614149526</v>
      </c>
      <c r="P17" s="45">
        <f>SUM(Q14:Q17)</f>
        <v>916</v>
      </c>
      <c r="Q17" s="8">
        <f>'Scoreblad B-O-T-V'!Q19</f>
        <v>194</v>
      </c>
      <c r="R17" s="8">
        <f>'Scoreblad B-O-T-V'!R19</f>
        <v>163</v>
      </c>
      <c r="S17" s="8">
        <f>'Scoreblad B-O-T-V'!S19</f>
        <v>31</v>
      </c>
      <c r="T17" s="8">
        <f>'Scoreblad B-O-T-V'!T19</f>
        <v>16</v>
      </c>
      <c r="U17" s="8">
        <f t="shared" si="22"/>
        <v>15</v>
      </c>
      <c r="V17" s="10">
        <f t="shared" si="7"/>
        <v>7.7319587628865982E-2</v>
      </c>
      <c r="W17" s="8" t="str">
        <f t="shared" si="8"/>
        <v>B</v>
      </c>
      <c r="X17" s="45">
        <f>SUM(U14:U17)</f>
        <v>39</v>
      </c>
      <c r="Y17" s="8" t="str">
        <f t="shared" si="9"/>
        <v>B</v>
      </c>
      <c r="Z17" s="28" t="s">
        <v>32</v>
      </c>
      <c r="AA17" s="19" t="str">
        <f t="shared" si="10"/>
        <v>Veurne</v>
      </c>
      <c r="AB17" s="96">
        <v>1</v>
      </c>
      <c r="AC17" s="44">
        <f t="shared" si="11"/>
        <v>0</v>
      </c>
      <c r="AD17" s="44">
        <f t="shared" si="12"/>
        <v>1</v>
      </c>
      <c r="AE17" s="44">
        <f t="shared" si="13"/>
        <v>1</v>
      </c>
      <c r="AF17" s="44">
        <f t="shared" si="14"/>
        <v>1</v>
      </c>
      <c r="AG17" s="8">
        <f t="shared" si="15"/>
        <v>71.888591401814239</v>
      </c>
      <c r="AH17" s="8">
        <f t="shared" si="16"/>
        <v>72.888591401814239</v>
      </c>
      <c r="AI17" s="8">
        <f t="shared" si="17"/>
        <v>179</v>
      </c>
      <c r="AJ17" s="10">
        <f t="shared" si="18"/>
        <v>0.40161224246823596</v>
      </c>
      <c r="AK17" s="17">
        <f t="shared" si="19"/>
        <v>0</v>
      </c>
      <c r="AL17" s="54">
        <f t="shared" si="23"/>
        <v>0</v>
      </c>
      <c r="AM17" s="34">
        <f t="shared" si="20"/>
        <v>0</v>
      </c>
      <c r="AN17" s="34" t="str">
        <f t="shared" si="24"/>
        <v>D</v>
      </c>
    </row>
    <row r="18" spans="1:40" x14ac:dyDescent="0.3">
      <c r="A18" s="15" t="s">
        <v>33</v>
      </c>
      <c r="B18" s="40" t="str">
        <f>'Scoreblad B-O-T-V'!B20</f>
        <v>Brugge</v>
      </c>
      <c r="C18" s="175">
        <f>'Scoreblad B-O-T-V'!C20</f>
        <v>37</v>
      </c>
      <c r="D18" s="178" t="str">
        <f t="shared" si="21"/>
        <v>B-O-T-V</v>
      </c>
      <c r="E18" s="9" t="str">
        <f t="shared" si="2"/>
        <v>B</v>
      </c>
      <c r="F18" s="9" t="str">
        <f t="shared" si="3"/>
        <v>B</v>
      </c>
      <c r="G18" s="45">
        <f>SUM(H18:H21)</f>
        <v>229.44877050529004</v>
      </c>
      <c r="H18" s="8">
        <f>'Scoreblad B-O-T-V'!H20</f>
        <v>150.6631818471669</v>
      </c>
      <c r="I18" s="8">
        <f>'Scoreblad B-O-T-V'!I20</f>
        <v>160.42248472606241</v>
      </c>
      <c r="J18" s="8">
        <f>'Scoreblad B-O-T-V'!J20</f>
        <v>136.35911201715305</v>
      </c>
      <c r="K18" s="8">
        <f t="shared" si="4"/>
        <v>9.759302878895511</v>
      </c>
      <c r="L18" s="45">
        <f>SUM(M18:M21)</f>
        <v>3.6025144961865365</v>
      </c>
      <c r="M18" s="8">
        <f t="shared" si="5"/>
        <v>-14.304069830013844</v>
      </c>
      <c r="N18" s="41">
        <f>IF(SUM(J18:J21)&gt;5,SUM(M18:M21)/SUM(J18:J21),"Blinde vlek")</f>
        <v>1.5458033179965996E-2</v>
      </c>
      <c r="O18" s="10">
        <f t="shared" si="6"/>
        <v>-0.10489999251545792</v>
      </c>
      <c r="P18" s="45">
        <f>SUM(Q18:Q21)</f>
        <v>229</v>
      </c>
      <c r="Q18" s="8">
        <f>'Scoreblad B-O-T-V'!Q20</f>
        <v>151</v>
      </c>
      <c r="R18" s="8">
        <f>'Scoreblad B-O-T-V'!R20</f>
        <v>75</v>
      </c>
      <c r="S18" s="8">
        <f>'Scoreblad B-O-T-V'!S20</f>
        <v>76</v>
      </c>
      <c r="T18" s="8">
        <f>'Scoreblad B-O-T-V'!T20</f>
        <v>6</v>
      </c>
      <c r="U18" s="8">
        <f t="shared" si="22"/>
        <v>70</v>
      </c>
      <c r="V18" s="10">
        <f t="shared" si="7"/>
        <v>0.46357615894039733</v>
      </c>
      <c r="W18" s="8" t="str">
        <f t="shared" si="8"/>
        <v>C</v>
      </c>
      <c r="X18" s="45">
        <f>SUM(U18:U21)</f>
        <v>17</v>
      </c>
      <c r="Y18" s="8" t="str">
        <f t="shared" si="9"/>
        <v>B</v>
      </c>
      <c r="Z18" s="24" t="s">
        <v>33</v>
      </c>
      <c r="AA18" s="19" t="str">
        <f t="shared" si="10"/>
        <v>Brugge</v>
      </c>
      <c r="AB18" s="96">
        <v>1</v>
      </c>
      <c r="AC18" s="44">
        <f t="shared" si="11"/>
        <v>1</v>
      </c>
      <c r="AD18" s="44">
        <f t="shared" si="12"/>
        <v>1</v>
      </c>
      <c r="AE18" s="44">
        <f t="shared" si="13"/>
        <v>0</v>
      </c>
      <c r="AF18" s="44">
        <f t="shared" si="14"/>
        <v>1</v>
      </c>
      <c r="AG18" s="8">
        <f t="shared" si="15"/>
        <v>55.695930169986156</v>
      </c>
      <c r="AH18" s="8">
        <f t="shared" si="16"/>
        <v>56.695930169986156</v>
      </c>
      <c r="AI18" s="8">
        <f t="shared" si="17"/>
        <v>81</v>
      </c>
      <c r="AJ18" s="10">
        <f t="shared" si="18"/>
        <v>0.68760407617266861</v>
      </c>
      <c r="AK18" s="18">
        <f t="shared" ref="AK18:AK24" si="26">AB18</f>
        <v>1</v>
      </c>
      <c r="AL18" s="54">
        <f t="shared" si="23"/>
        <v>3</v>
      </c>
      <c r="AM18" s="34">
        <f t="shared" si="20"/>
        <v>3</v>
      </c>
      <c r="AN18" s="34" t="str">
        <f t="shared" si="24"/>
        <v>C</v>
      </c>
    </row>
    <row r="19" spans="1:40" x14ac:dyDescent="0.3">
      <c r="A19" s="15" t="s">
        <v>33</v>
      </c>
      <c r="B19" s="40" t="str">
        <f>'Scoreblad B-O-T-V'!B21</f>
        <v>Oostende</v>
      </c>
      <c r="C19" s="175">
        <f>'Scoreblad B-O-T-V'!C21</f>
        <v>40</v>
      </c>
      <c r="D19" s="178" t="str">
        <f t="shared" si="21"/>
        <v>B-O-T-V</v>
      </c>
      <c r="E19" s="9" t="str">
        <f t="shared" si="2"/>
        <v>B</v>
      </c>
      <c r="F19" s="9" t="str">
        <f t="shared" si="3"/>
        <v>C</v>
      </c>
      <c r="G19" s="45">
        <f>SUM(H18:H21)</f>
        <v>229.44877050529004</v>
      </c>
      <c r="H19" s="8">
        <f>'Scoreblad B-O-T-V'!H21</f>
        <v>55.518552227807618</v>
      </c>
      <c r="I19" s="8">
        <f>'Scoreblad B-O-T-V'!I21</f>
        <v>85.155497628615905</v>
      </c>
      <c r="J19" s="8">
        <f>'Scoreblad B-O-T-V'!J21</f>
        <v>72.382172984323518</v>
      </c>
      <c r="K19" s="8">
        <f t="shared" si="4"/>
        <v>29.636945400808287</v>
      </c>
      <c r="L19" s="45">
        <f>SUM(M18:M21)</f>
        <v>3.6025144961865365</v>
      </c>
      <c r="M19" s="8">
        <f t="shared" si="5"/>
        <v>16.8636207565159</v>
      </c>
      <c r="N19" s="41">
        <f>IF(SUM(J18:J21)&gt;5,SUM(M18:M21)/SUM(J18:J21),"Blinde vlek")</f>
        <v>1.5458033179965996E-2</v>
      </c>
      <c r="O19" s="10">
        <f t="shared" si="6"/>
        <v>0.23298030524958419</v>
      </c>
      <c r="P19" s="45">
        <f>SUM(Q18:Q21)</f>
        <v>229</v>
      </c>
      <c r="Q19" s="8">
        <f>'Scoreblad B-O-T-V'!Q21</f>
        <v>55</v>
      </c>
      <c r="R19" s="8">
        <f>'Scoreblad B-O-T-V'!R21</f>
        <v>40</v>
      </c>
      <c r="S19" s="8">
        <f>'Scoreblad B-O-T-V'!S21</f>
        <v>15</v>
      </c>
      <c r="T19" s="8">
        <f>'Scoreblad B-O-T-V'!T21</f>
        <v>24</v>
      </c>
      <c r="U19" s="8">
        <f t="shared" si="22"/>
        <v>-9</v>
      </c>
      <c r="V19" s="10">
        <f t="shared" si="7"/>
        <v>-0.16363636363636364</v>
      </c>
      <c r="W19" s="8" t="str">
        <f t="shared" si="8"/>
        <v>B</v>
      </c>
      <c r="X19" s="45">
        <f>SUM(U18:U21)</f>
        <v>17</v>
      </c>
      <c r="Y19" s="8" t="str">
        <f t="shared" si="9"/>
        <v>B</v>
      </c>
      <c r="Z19" s="24" t="s">
        <v>33</v>
      </c>
      <c r="AA19" s="19" t="str">
        <f t="shared" si="10"/>
        <v>Oostende</v>
      </c>
      <c r="AB19" s="96">
        <v>1</v>
      </c>
      <c r="AC19" s="44">
        <f t="shared" si="11"/>
        <v>0</v>
      </c>
      <c r="AD19" s="44">
        <f t="shared" si="12"/>
        <v>1</v>
      </c>
      <c r="AE19" s="44">
        <f t="shared" si="13"/>
        <v>1</v>
      </c>
      <c r="AF19" s="44">
        <f t="shared" si="14"/>
        <v>1</v>
      </c>
      <c r="AG19" s="8">
        <f t="shared" si="15"/>
        <v>7.8636207565158998</v>
      </c>
      <c r="AH19" s="8">
        <f t="shared" si="16"/>
        <v>8.8636207565158998</v>
      </c>
      <c r="AI19" s="8">
        <f t="shared" ref="AI19:AI24" si="27">R19+T19</f>
        <v>64</v>
      </c>
      <c r="AJ19" s="10">
        <f t="shared" si="18"/>
        <v>0.12286907432056093</v>
      </c>
      <c r="AK19" s="18">
        <f t="shared" si="26"/>
        <v>1</v>
      </c>
      <c r="AL19" s="54">
        <f t="shared" si="23"/>
        <v>3</v>
      </c>
      <c r="AM19" s="34">
        <f t="shared" si="20"/>
        <v>3</v>
      </c>
      <c r="AN19" s="34" t="str">
        <f t="shared" si="24"/>
        <v>C</v>
      </c>
    </row>
    <row r="20" spans="1:40" x14ac:dyDescent="0.3">
      <c r="A20" s="15" t="s">
        <v>33</v>
      </c>
      <c r="B20" s="40" t="str">
        <f>'Scoreblad B-O-T-V'!B22</f>
        <v>Torhout</v>
      </c>
      <c r="C20" s="175">
        <f>'Scoreblad B-O-T-V'!C22</f>
        <v>42</v>
      </c>
      <c r="D20" s="178" t="str">
        <f t="shared" si="21"/>
        <v>B-O-T-V</v>
      </c>
      <c r="E20" s="9" t="str">
        <f t="shared" si="2"/>
        <v>B</v>
      </c>
      <c r="F20" s="9" t="str">
        <f t="shared" si="3"/>
        <v>Blinde vlek</v>
      </c>
      <c r="G20" s="45">
        <f>SUM(H18:H21)</f>
        <v>229.44877050529004</v>
      </c>
      <c r="H20" s="8">
        <f>'Scoreblad B-O-T-V'!H22</f>
        <v>0</v>
      </c>
      <c r="I20" s="8">
        <f>'Scoreblad B-O-T-V'!I22</f>
        <v>0</v>
      </c>
      <c r="J20" s="8">
        <f>'Scoreblad B-O-T-V'!J22</f>
        <v>0</v>
      </c>
      <c r="K20" s="8">
        <f t="shared" si="4"/>
        <v>0</v>
      </c>
      <c r="L20" s="45">
        <f>SUM(M18:M21)</f>
        <v>3.6025144961865365</v>
      </c>
      <c r="M20" s="8">
        <f t="shared" si="5"/>
        <v>0</v>
      </c>
      <c r="N20" s="41">
        <f>IF(SUM(J18:J21)&gt;5,SUM(M18:M21)/SUM(J18:J21),"Blinde vlek")</f>
        <v>1.5458033179965996E-2</v>
      </c>
      <c r="O20" s="10" t="str">
        <f t="shared" si="6"/>
        <v>Blinde vlek</v>
      </c>
      <c r="P20" s="45">
        <f>SUM(Q18:Q21)</f>
        <v>229</v>
      </c>
      <c r="Q20" s="8">
        <f>'Scoreblad B-O-T-V'!Q22</f>
        <v>0</v>
      </c>
      <c r="R20" s="8">
        <f>'Scoreblad B-O-T-V'!R22</f>
        <v>0</v>
      </c>
      <c r="S20" s="8">
        <f>'Scoreblad B-O-T-V'!S22</f>
        <v>0</v>
      </c>
      <c r="T20" s="8">
        <f>'Scoreblad B-O-T-V'!T22</f>
        <v>42</v>
      </c>
      <c r="U20" s="8">
        <f t="shared" si="22"/>
        <v>-42</v>
      </c>
      <c r="V20" s="10" t="str">
        <f t="shared" si="7"/>
        <v>Blinde vlek</v>
      </c>
      <c r="W20" s="8" t="str">
        <f t="shared" si="8"/>
        <v>Blinde vlek</v>
      </c>
      <c r="X20" s="45">
        <f>SUM(U18:U21)</f>
        <v>17</v>
      </c>
      <c r="Y20" s="8" t="str">
        <f t="shared" si="9"/>
        <v>B</v>
      </c>
      <c r="Z20" s="24" t="s">
        <v>33</v>
      </c>
      <c r="AA20" s="19" t="str">
        <f t="shared" si="10"/>
        <v>Torhout</v>
      </c>
      <c r="AB20" s="96">
        <v>1</v>
      </c>
      <c r="AC20" s="44">
        <f t="shared" si="11"/>
        <v>2</v>
      </c>
      <c r="AD20" s="44">
        <f t="shared" si="12"/>
        <v>1</v>
      </c>
      <c r="AE20" s="44">
        <f t="shared" si="13"/>
        <v>2</v>
      </c>
      <c r="AF20" s="44">
        <f t="shared" si="14"/>
        <v>1</v>
      </c>
      <c r="AG20" s="8">
        <f t="shared" si="15"/>
        <v>-42</v>
      </c>
      <c r="AH20" s="8">
        <f t="shared" si="16"/>
        <v>-41</v>
      </c>
      <c r="AI20" s="8">
        <f t="shared" si="27"/>
        <v>42</v>
      </c>
      <c r="AJ20" s="10">
        <f t="shared" si="18"/>
        <v>-1</v>
      </c>
      <c r="AK20" s="18">
        <f t="shared" si="26"/>
        <v>1</v>
      </c>
      <c r="AL20" s="54">
        <f t="shared" si="23"/>
        <v>6</v>
      </c>
      <c r="AM20" s="34">
        <f t="shared" si="20"/>
        <v>6</v>
      </c>
      <c r="AN20" s="34" t="str">
        <f t="shared" si="24"/>
        <v>A</v>
      </c>
    </row>
    <row r="21" spans="1:40" x14ac:dyDescent="0.3">
      <c r="A21" s="15" t="s">
        <v>33</v>
      </c>
      <c r="B21" s="40" t="str">
        <f>'Scoreblad B-O-T-V'!B23</f>
        <v>Veurne</v>
      </c>
      <c r="C21" s="175">
        <f>'Scoreblad B-O-T-V'!C23</f>
        <v>43</v>
      </c>
      <c r="D21" s="178" t="str">
        <f t="shared" si="21"/>
        <v>B-O-T-V</v>
      </c>
      <c r="E21" s="9" t="str">
        <f t="shared" si="2"/>
        <v>B</v>
      </c>
      <c r="F21" s="9" t="str">
        <f t="shared" si="3"/>
        <v>B</v>
      </c>
      <c r="G21" s="45">
        <f>SUM(H18:H21)</f>
        <v>229.44877050529004</v>
      </c>
      <c r="H21" s="8">
        <f>'Scoreblad B-O-T-V'!H23</f>
        <v>23.267036430315517</v>
      </c>
      <c r="I21" s="8">
        <f>'Scoreblad B-O-T-V'!I23</f>
        <v>28.599999999999998</v>
      </c>
      <c r="J21" s="8">
        <f>'Scoreblad B-O-T-V'!J23</f>
        <v>24.31</v>
      </c>
      <c r="K21" s="8">
        <f t="shared" si="4"/>
        <v>5.3329635696844804</v>
      </c>
      <c r="L21" s="45">
        <f>SUM(M18:M21)</f>
        <v>3.6025144961865365</v>
      </c>
      <c r="M21" s="8">
        <f t="shared" si="5"/>
        <v>1.0429635696844812</v>
      </c>
      <c r="N21" s="41">
        <f>IF(SUM(J18:J21)&gt;5,SUM(M18:M21)/SUM(J18:J21),"Blinde vlek")</f>
        <v>1.5458033179965996E-2</v>
      </c>
      <c r="O21" s="10">
        <f t="shared" si="6"/>
        <v>4.2902656095618316E-2</v>
      </c>
      <c r="P21" s="45">
        <f>SUM(Q18:Q21)</f>
        <v>229</v>
      </c>
      <c r="Q21" s="8">
        <f>'Scoreblad B-O-T-V'!Q23</f>
        <v>23</v>
      </c>
      <c r="R21" s="8">
        <f>'Scoreblad B-O-T-V'!R23</f>
        <v>15</v>
      </c>
      <c r="S21" s="8">
        <f>'Scoreblad B-O-T-V'!S23</f>
        <v>8</v>
      </c>
      <c r="T21" s="8">
        <f>'Scoreblad B-O-T-V'!T23</f>
        <v>10</v>
      </c>
      <c r="U21" s="8">
        <f t="shared" si="22"/>
        <v>-2</v>
      </c>
      <c r="V21" s="10">
        <f t="shared" si="7"/>
        <v>-8.6956521739130432E-2</v>
      </c>
      <c r="W21" s="8" t="str">
        <f t="shared" si="8"/>
        <v>B</v>
      </c>
      <c r="X21" s="45">
        <f>SUM(U18:U21)</f>
        <v>17</v>
      </c>
      <c r="Y21" s="8" t="str">
        <f t="shared" si="9"/>
        <v>B</v>
      </c>
      <c r="Z21" s="24" t="s">
        <v>33</v>
      </c>
      <c r="AA21" s="19" t="str">
        <f t="shared" si="10"/>
        <v>Veurne</v>
      </c>
      <c r="AB21" s="96">
        <v>1</v>
      </c>
      <c r="AC21" s="44">
        <f t="shared" si="11"/>
        <v>1</v>
      </c>
      <c r="AD21" s="44">
        <f t="shared" si="12"/>
        <v>1</v>
      </c>
      <c r="AE21" s="44">
        <f t="shared" si="13"/>
        <v>1</v>
      </c>
      <c r="AF21" s="44">
        <f t="shared" si="14"/>
        <v>1</v>
      </c>
      <c r="AG21" s="8">
        <f t="shared" si="15"/>
        <v>-0.95703643031551877</v>
      </c>
      <c r="AH21" s="8">
        <f t="shared" si="16"/>
        <v>4.2963569684481229E-2</v>
      </c>
      <c r="AI21" s="8">
        <f t="shared" si="27"/>
        <v>25</v>
      </c>
      <c r="AJ21" s="10">
        <f t="shared" si="18"/>
        <v>-3.8281457212620752E-2</v>
      </c>
      <c r="AK21" s="18">
        <f t="shared" si="26"/>
        <v>1</v>
      </c>
      <c r="AL21" s="54">
        <f t="shared" si="23"/>
        <v>4</v>
      </c>
      <c r="AM21" s="34">
        <f t="shared" si="20"/>
        <v>4</v>
      </c>
      <c r="AN21" s="34" t="str">
        <f t="shared" si="24"/>
        <v>B</v>
      </c>
    </row>
    <row r="22" spans="1:40" x14ac:dyDescent="0.3">
      <c r="A22" s="14" t="s">
        <v>34</v>
      </c>
      <c r="B22" s="40" t="str">
        <f>'Scoreblad B-O-T-V'!B24</f>
        <v>Brugge</v>
      </c>
      <c r="C22" s="175">
        <f>'Scoreblad B-O-T-V'!C24</f>
        <v>37</v>
      </c>
      <c r="D22" s="178" t="str">
        <f t="shared" si="21"/>
        <v>B-O-T-V</v>
      </c>
      <c r="E22" s="9" t="str">
        <f t="shared" si="2"/>
        <v>B</v>
      </c>
      <c r="F22" s="9" t="str">
        <f t="shared" si="3"/>
        <v>B</v>
      </c>
      <c r="G22" s="45">
        <f>SUM(H22:H25)</f>
        <v>46.915795461791724</v>
      </c>
      <c r="H22" s="8">
        <f>'Scoreblad B-O-T-V'!H24</f>
        <v>46.915795461791724</v>
      </c>
      <c r="I22" s="8">
        <f>'Scoreblad B-O-T-V'!I24</f>
        <v>47.704367301231805</v>
      </c>
      <c r="J22" s="8">
        <f>'Scoreblad B-O-T-V'!J24</f>
        <v>40.548712206047036</v>
      </c>
      <c r="K22" s="8">
        <f t="shared" si="4"/>
        <v>0.78857183944008113</v>
      </c>
      <c r="L22" s="45">
        <f>SUM(M22:M25)</f>
        <v>-6.3670832557446886</v>
      </c>
      <c r="M22" s="8">
        <f t="shared" si="5"/>
        <v>-6.3670832557446886</v>
      </c>
      <c r="N22" s="41">
        <f>IF(SUM(J22:J25)&gt;5,SUM(M22:M25)/SUM(J22:J25),"Blinde vlek")</f>
        <v>-0.15702306952167927</v>
      </c>
      <c r="O22" s="10">
        <f t="shared" si="6"/>
        <v>-0.15702306952167927</v>
      </c>
      <c r="P22" s="45">
        <f>SUM(Q22:Q25)</f>
        <v>47</v>
      </c>
      <c r="Q22" s="8">
        <f>'Scoreblad B-O-T-V'!Q24</f>
        <v>47</v>
      </c>
      <c r="R22" s="8">
        <f>'Scoreblad B-O-T-V'!R24</f>
        <v>20</v>
      </c>
      <c r="S22" s="8">
        <f>'Scoreblad B-O-T-V'!S24</f>
        <v>27</v>
      </c>
      <c r="T22" s="8">
        <f>'Scoreblad B-O-T-V'!T24</f>
        <v>19</v>
      </c>
      <c r="U22" s="8">
        <f t="shared" si="22"/>
        <v>8</v>
      </c>
      <c r="V22" s="10">
        <f t="shared" si="7"/>
        <v>0.1702127659574468</v>
      </c>
      <c r="W22" s="8" t="str">
        <f t="shared" si="8"/>
        <v>B</v>
      </c>
      <c r="X22" s="45">
        <f>SUM(U22:U25)</f>
        <v>-43</v>
      </c>
      <c r="Y22" s="8" t="str">
        <f t="shared" si="9"/>
        <v>A</v>
      </c>
      <c r="Z22" s="28" t="s">
        <v>34</v>
      </c>
      <c r="AA22" s="19" t="str">
        <f t="shared" si="10"/>
        <v>Brugge</v>
      </c>
      <c r="AB22" s="96">
        <v>1</v>
      </c>
      <c r="AC22" s="44">
        <f t="shared" si="11"/>
        <v>1</v>
      </c>
      <c r="AD22" s="44">
        <f t="shared" si="12"/>
        <v>1</v>
      </c>
      <c r="AE22" s="44">
        <f t="shared" si="13"/>
        <v>1</v>
      </c>
      <c r="AF22" s="44">
        <f t="shared" si="14"/>
        <v>2</v>
      </c>
      <c r="AG22" s="8">
        <f t="shared" si="15"/>
        <v>1.6329167442553114</v>
      </c>
      <c r="AH22" s="8">
        <f t="shared" si="16"/>
        <v>2.6329167442553114</v>
      </c>
      <c r="AI22" s="8">
        <f t="shared" si="27"/>
        <v>39</v>
      </c>
      <c r="AJ22" s="10">
        <f t="shared" si="18"/>
        <v>4.186966010911055E-2</v>
      </c>
      <c r="AK22" s="47">
        <f t="shared" si="26"/>
        <v>1</v>
      </c>
      <c r="AL22" s="54">
        <f t="shared" si="23"/>
        <v>5</v>
      </c>
      <c r="AM22" s="34">
        <f t="shared" si="20"/>
        <v>5</v>
      </c>
      <c r="AN22" s="34" t="str">
        <f t="shared" si="24"/>
        <v>B</v>
      </c>
    </row>
    <row r="23" spans="1:40" x14ac:dyDescent="0.3">
      <c r="A23" s="14" t="s">
        <v>34</v>
      </c>
      <c r="B23" s="40" t="str">
        <f>'Scoreblad B-O-T-V'!B25</f>
        <v>Oostende</v>
      </c>
      <c r="C23" s="175">
        <f>'Scoreblad B-O-T-V'!C25</f>
        <v>40</v>
      </c>
      <c r="D23" s="178" t="str">
        <f t="shared" si="21"/>
        <v>B-O-T-V</v>
      </c>
      <c r="E23" s="9" t="str">
        <f t="shared" si="2"/>
        <v>B</v>
      </c>
      <c r="F23" s="9" t="str">
        <f t="shared" si="3"/>
        <v>Blinde vlek</v>
      </c>
      <c r="G23" s="45">
        <f>SUM(H22:H25)</f>
        <v>46.915795461791724</v>
      </c>
      <c r="H23" s="8">
        <f>'Scoreblad B-O-T-V'!H25</f>
        <v>0</v>
      </c>
      <c r="I23" s="8">
        <f>'Scoreblad B-O-T-V'!I25</f>
        <v>0</v>
      </c>
      <c r="J23" s="8">
        <f>'Scoreblad B-O-T-V'!J25</f>
        <v>0</v>
      </c>
      <c r="K23" s="8">
        <f t="shared" si="4"/>
        <v>0</v>
      </c>
      <c r="L23" s="45">
        <f>SUM(M22:M25)</f>
        <v>-6.3670832557446886</v>
      </c>
      <c r="M23" s="8">
        <f t="shared" si="5"/>
        <v>0</v>
      </c>
      <c r="N23" s="41">
        <f>IF(SUM(J22:J25)&gt;5,SUM(M22:M25)/SUM(J22:J25),"Blinde vlek")</f>
        <v>-0.15702306952167927</v>
      </c>
      <c r="O23" s="10" t="str">
        <f t="shared" si="6"/>
        <v>Blinde vlek</v>
      </c>
      <c r="P23" s="45">
        <f>SUM(Q22:Q25)</f>
        <v>47</v>
      </c>
      <c r="Q23" s="8">
        <f>'Scoreblad B-O-T-V'!Q25</f>
        <v>0</v>
      </c>
      <c r="R23" s="8">
        <f>'Scoreblad B-O-T-V'!R25</f>
        <v>0</v>
      </c>
      <c r="S23" s="8">
        <f>'Scoreblad B-O-T-V'!S25</f>
        <v>0</v>
      </c>
      <c r="T23" s="8">
        <f>'Scoreblad B-O-T-V'!T25</f>
        <v>30</v>
      </c>
      <c r="U23" s="8">
        <f t="shared" si="22"/>
        <v>-30</v>
      </c>
      <c r="V23" s="10" t="str">
        <f t="shared" si="7"/>
        <v>Blinde vlek</v>
      </c>
      <c r="W23" s="8" t="str">
        <f t="shared" si="8"/>
        <v>Blinde vlek</v>
      </c>
      <c r="X23" s="45">
        <f>SUM(U22:U25)</f>
        <v>-43</v>
      </c>
      <c r="Y23" s="8" t="str">
        <f t="shared" si="9"/>
        <v>A</v>
      </c>
      <c r="Z23" s="28" t="s">
        <v>34</v>
      </c>
      <c r="AA23" s="19" t="str">
        <f t="shared" si="10"/>
        <v>Oostende</v>
      </c>
      <c r="AB23" s="96">
        <v>1</v>
      </c>
      <c r="AC23" s="44">
        <f t="shared" si="11"/>
        <v>2</v>
      </c>
      <c r="AD23" s="44">
        <f t="shared" si="12"/>
        <v>1</v>
      </c>
      <c r="AE23" s="44">
        <f t="shared" si="13"/>
        <v>2</v>
      </c>
      <c r="AF23" s="44">
        <f t="shared" si="14"/>
        <v>2</v>
      </c>
      <c r="AG23" s="8">
        <f t="shared" si="15"/>
        <v>-30</v>
      </c>
      <c r="AH23" s="8">
        <f t="shared" si="16"/>
        <v>-29</v>
      </c>
      <c r="AI23" s="8">
        <f t="shared" si="27"/>
        <v>30</v>
      </c>
      <c r="AJ23" s="10">
        <f t="shared" si="18"/>
        <v>-1</v>
      </c>
      <c r="AK23" s="47">
        <f t="shared" si="26"/>
        <v>1</v>
      </c>
      <c r="AL23" s="54">
        <f t="shared" si="23"/>
        <v>7</v>
      </c>
      <c r="AM23" s="34">
        <f t="shared" si="20"/>
        <v>7</v>
      </c>
      <c r="AN23" s="34" t="str">
        <f t="shared" si="24"/>
        <v>A</v>
      </c>
    </row>
    <row r="24" spans="1:40" x14ac:dyDescent="0.3">
      <c r="A24" s="14" t="s">
        <v>34</v>
      </c>
      <c r="B24" s="40" t="str">
        <f>'Scoreblad B-O-T-V'!B26</f>
        <v>Torhout</v>
      </c>
      <c r="C24" s="175">
        <f>'Scoreblad B-O-T-V'!C26</f>
        <v>42</v>
      </c>
      <c r="D24" s="178" t="str">
        <f t="shared" si="21"/>
        <v>B-O-T-V</v>
      </c>
      <c r="E24" s="9" t="str">
        <f t="shared" si="2"/>
        <v>B</v>
      </c>
      <c r="F24" s="9" t="str">
        <f t="shared" si="3"/>
        <v>Blinde vlek</v>
      </c>
      <c r="G24" s="45">
        <f>SUM(H22:H25)</f>
        <v>46.915795461791724</v>
      </c>
      <c r="H24" s="8">
        <f>'Scoreblad B-O-T-V'!H26</f>
        <v>0</v>
      </c>
      <c r="I24" s="8">
        <f>'Scoreblad B-O-T-V'!I26</f>
        <v>0</v>
      </c>
      <c r="J24" s="8">
        <f>'Scoreblad B-O-T-V'!J26</f>
        <v>0</v>
      </c>
      <c r="K24" s="8">
        <f t="shared" si="4"/>
        <v>0</v>
      </c>
      <c r="L24" s="45">
        <f>SUM(M22:M25)</f>
        <v>-6.3670832557446886</v>
      </c>
      <c r="M24" s="8">
        <f t="shared" si="5"/>
        <v>0</v>
      </c>
      <c r="N24" s="41">
        <f>IF(SUM(J22:J25)&gt;5,SUM(M22:M25)/SUM(J22:J25),"Blinde vlek")</f>
        <v>-0.15702306952167927</v>
      </c>
      <c r="O24" s="10" t="str">
        <f t="shared" si="6"/>
        <v>Blinde vlek</v>
      </c>
      <c r="P24" s="45">
        <f>SUM(Q22:Q25)</f>
        <v>47</v>
      </c>
      <c r="Q24" s="8">
        <f>'Scoreblad B-O-T-V'!Q26</f>
        <v>0</v>
      </c>
      <c r="R24" s="8">
        <f>'Scoreblad B-O-T-V'!R26</f>
        <v>0</v>
      </c>
      <c r="S24" s="8">
        <f>'Scoreblad B-O-T-V'!S26</f>
        <v>0</v>
      </c>
      <c r="T24" s="8">
        <f>'Scoreblad B-O-T-V'!T26</f>
        <v>9</v>
      </c>
      <c r="U24" s="8">
        <f t="shared" si="22"/>
        <v>-9</v>
      </c>
      <c r="V24" s="10" t="str">
        <f t="shared" si="7"/>
        <v>Blinde vlek</v>
      </c>
      <c r="W24" s="8" t="str">
        <f t="shared" si="8"/>
        <v>Blinde vlek</v>
      </c>
      <c r="X24" s="45">
        <f>SUM(U22:U25)</f>
        <v>-43</v>
      </c>
      <c r="Y24" s="8" t="str">
        <f t="shared" si="9"/>
        <v>A</v>
      </c>
      <c r="Z24" s="28" t="s">
        <v>34</v>
      </c>
      <c r="AA24" s="19" t="str">
        <f t="shared" si="10"/>
        <v>Torhout</v>
      </c>
      <c r="AB24" s="96">
        <v>1</v>
      </c>
      <c r="AC24" s="44">
        <f t="shared" si="11"/>
        <v>2</v>
      </c>
      <c r="AD24" s="44">
        <f t="shared" si="12"/>
        <v>1</v>
      </c>
      <c r="AE24" s="44">
        <f t="shared" si="13"/>
        <v>2</v>
      </c>
      <c r="AF24" s="44">
        <f t="shared" si="14"/>
        <v>2</v>
      </c>
      <c r="AG24" s="8">
        <f t="shared" si="15"/>
        <v>-9</v>
      </c>
      <c r="AH24" s="8">
        <f t="shared" si="16"/>
        <v>-8</v>
      </c>
      <c r="AI24" s="8">
        <f t="shared" si="27"/>
        <v>9</v>
      </c>
      <c r="AJ24" s="10">
        <f t="shared" si="18"/>
        <v>-1</v>
      </c>
      <c r="AK24" s="47">
        <f t="shared" si="26"/>
        <v>1</v>
      </c>
      <c r="AL24" s="54">
        <f t="shared" si="23"/>
        <v>7</v>
      </c>
      <c r="AM24" s="34">
        <f t="shared" si="20"/>
        <v>7</v>
      </c>
      <c r="AN24" s="34" t="str">
        <f t="shared" si="24"/>
        <v>A</v>
      </c>
    </row>
    <row r="25" spans="1:40" x14ac:dyDescent="0.3">
      <c r="A25" s="14" t="s">
        <v>34</v>
      </c>
      <c r="B25" s="40" t="str">
        <f>'Scoreblad B-O-T-V'!B27</f>
        <v>Veurne</v>
      </c>
      <c r="C25" s="175">
        <f>'Scoreblad B-O-T-V'!C27</f>
        <v>43</v>
      </c>
      <c r="D25" s="178" t="str">
        <f t="shared" si="21"/>
        <v>B-O-T-V</v>
      </c>
      <c r="E25" s="9" t="str">
        <f t="shared" si="2"/>
        <v>B</v>
      </c>
      <c r="F25" s="9" t="str">
        <f t="shared" si="3"/>
        <v>Blinde vlek</v>
      </c>
      <c r="G25" s="45">
        <f>SUM(H22:H25)</f>
        <v>46.915795461791724</v>
      </c>
      <c r="H25" s="8">
        <f>'Scoreblad B-O-T-V'!H27</f>
        <v>0</v>
      </c>
      <c r="I25" s="8">
        <f>'Scoreblad B-O-T-V'!I27</f>
        <v>0</v>
      </c>
      <c r="J25" s="8">
        <f>'Scoreblad B-O-T-V'!J27</f>
        <v>0</v>
      </c>
      <c r="K25" s="8">
        <f t="shared" si="4"/>
        <v>0</v>
      </c>
      <c r="L25" s="45">
        <f>SUM(M22:M25)</f>
        <v>-6.3670832557446886</v>
      </c>
      <c r="M25" s="8">
        <f t="shared" si="5"/>
        <v>0</v>
      </c>
      <c r="N25" s="41">
        <f>IF(SUM(J22:J25)&gt;5,SUM(M22:M25)/SUM(J22:J25),"Blinde vlek")</f>
        <v>-0.15702306952167927</v>
      </c>
      <c r="O25" s="10" t="str">
        <f t="shared" si="6"/>
        <v>Blinde vlek</v>
      </c>
      <c r="P25" s="45">
        <f>SUM(Q22:Q25)</f>
        <v>47</v>
      </c>
      <c r="Q25" s="8">
        <f>'Scoreblad B-O-T-V'!Q27</f>
        <v>0</v>
      </c>
      <c r="R25" s="8">
        <f>'Scoreblad B-O-T-V'!R27</f>
        <v>0</v>
      </c>
      <c r="S25" s="8">
        <f>'Scoreblad B-O-T-V'!S27</f>
        <v>0</v>
      </c>
      <c r="T25" s="8">
        <f>'Scoreblad B-O-T-V'!T27</f>
        <v>12</v>
      </c>
      <c r="U25" s="8">
        <f t="shared" si="22"/>
        <v>-12</v>
      </c>
      <c r="V25" s="10" t="str">
        <f t="shared" si="7"/>
        <v>Blinde vlek</v>
      </c>
      <c r="W25" s="8" t="str">
        <f t="shared" si="8"/>
        <v>Blinde vlek</v>
      </c>
      <c r="X25" s="45">
        <f>SUM(U22:U25)</f>
        <v>-43</v>
      </c>
      <c r="Y25" s="8" t="str">
        <f t="shared" si="9"/>
        <v>A</v>
      </c>
      <c r="Z25" s="28" t="s">
        <v>34</v>
      </c>
      <c r="AA25" s="19" t="str">
        <f t="shared" si="10"/>
        <v>Veurne</v>
      </c>
      <c r="AB25" s="96">
        <v>1</v>
      </c>
      <c r="AC25" s="44">
        <f t="shared" si="11"/>
        <v>2</v>
      </c>
      <c r="AD25" s="44">
        <f t="shared" si="12"/>
        <v>1</v>
      </c>
      <c r="AE25" s="44">
        <f t="shared" si="13"/>
        <v>2</v>
      </c>
      <c r="AF25" s="44">
        <f t="shared" si="14"/>
        <v>2</v>
      </c>
      <c r="AG25" s="8">
        <f t="shared" si="15"/>
        <v>-12</v>
      </c>
      <c r="AH25" s="8">
        <f t="shared" si="16"/>
        <v>-11</v>
      </c>
      <c r="AI25" s="8">
        <f>R25+T25</f>
        <v>12</v>
      </c>
      <c r="AJ25" s="10">
        <f t="shared" ref="AJ25" si="28">AG25/AI25</f>
        <v>-1</v>
      </c>
      <c r="AK25" s="47">
        <f t="shared" ref="AK25" si="29">AB25</f>
        <v>1</v>
      </c>
      <c r="AL25" s="54">
        <f t="shared" si="23"/>
        <v>7</v>
      </c>
      <c r="AM25" s="34">
        <f t="shared" ref="AM25" si="30">IF(AK25&gt;0,AL25/AB25,0)</f>
        <v>7</v>
      </c>
      <c r="AN25" s="34" t="str">
        <f t="shared" si="24"/>
        <v>A</v>
      </c>
    </row>
    <row r="26" spans="1:40" x14ac:dyDescent="0.3">
      <c r="A26" s="16" t="s">
        <v>35</v>
      </c>
      <c r="B26" s="40" t="str">
        <f>'Scoreblad B-O-T-V'!B28</f>
        <v>Brugge</v>
      </c>
      <c r="C26" s="175">
        <f>'Scoreblad B-O-T-V'!C28</f>
        <v>37</v>
      </c>
      <c r="D26" s="178" t="str">
        <f t="shared" si="21"/>
        <v>B-O-T-V</v>
      </c>
      <c r="E26" s="9" t="str">
        <f t="shared" si="2"/>
        <v>B</v>
      </c>
      <c r="F26" s="9" t="str">
        <f t="shared" si="3"/>
        <v>B</v>
      </c>
      <c r="G26" s="45">
        <f>SUM(H26:H29)</f>
        <v>40.92000568870214</v>
      </c>
      <c r="H26" s="8">
        <f>'Scoreblad B-O-T-V'!H28</f>
        <v>40.92000568870214</v>
      </c>
      <c r="I26" s="8">
        <f>'Scoreblad B-O-T-V'!I28</f>
        <v>43.26454741379311</v>
      </c>
      <c r="J26" s="8">
        <f>'Scoreblad B-O-T-V'!J28</f>
        <v>36.774865301724141</v>
      </c>
      <c r="K26" s="8">
        <f>I26-H26</f>
        <v>2.3445417250909699</v>
      </c>
      <c r="L26" s="45">
        <f>SUM(M26:M29)</f>
        <v>-4.1451403869779995</v>
      </c>
      <c r="M26" s="8">
        <f t="shared" si="5"/>
        <v>-4.1451403869779995</v>
      </c>
      <c r="N26" s="41">
        <f>IF(SUM(J26:J29)&gt;5,SUM(M26:M29)/SUM(J26:J29),"Blinde vlek")</f>
        <v>-0.11271667082853082</v>
      </c>
      <c r="O26" s="10">
        <f t="shared" si="6"/>
        <v>-0.11271667082853082</v>
      </c>
      <c r="P26" s="45">
        <f>SUM(Q26:Q29)</f>
        <v>41</v>
      </c>
      <c r="Q26" s="8">
        <f>'Scoreblad B-O-T-V'!Q28</f>
        <v>41</v>
      </c>
      <c r="R26" s="8">
        <f>'Scoreblad B-O-T-V'!R28</f>
        <v>13</v>
      </c>
      <c r="S26" s="8">
        <f>'Scoreblad B-O-T-V'!S28</f>
        <v>28</v>
      </c>
      <c r="T26" s="8">
        <f>'Scoreblad B-O-T-V'!T28</f>
        <v>0</v>
      </c>
      <c r="U26" s="8">
        <f t="shared" si="22"/>
        <v>28</v>
      </c>
      <c r="V26" s="10">
        <f t="shared" si="7"/>
        <v>0.68292682926829273</v>
      </c>
      <c r="W26" s="8" t="str">
        <f t="shared" si="8"/>
        <v>C</v>
      </c>
      <c r="X26" s="45">
        <f>SUM(U26:U29)</f>
        <v>18</v>
      </c>
      <c r="Y26" s="8" t="str">
        <f t="shared" si="9"/>
        <v>C</v>
      </c>
      <c r="Z26" s="29" t="s">
        <v>35</v>
      </c>
      <c r="AA26" s="19" t="str">
        <f t="shared" si="10"/>
        <v>Brugge</v>
      </c>
      <c r="AB26" s="96">
        <v>1</v>
      </c>
      <c r="AC26" s="44">
        <f t="shared" si="11"/>
        <v>1</v>
      </c>
      <c r="AD26" s="44">
        <f t="shared" si="12"/>
        <v>1</v>
      </c>
      <c r="AE26" s="44">
        <f t="shared" si="13"/>
        <v>0</v>
      </c>
      <c r="AF26" s="44">
        <f t="shared" si="14"/>
        <v>0</v>
      </c>
      <c r="AG26" s="249">
        <f>L26+X26</f>
        <v>13.854859613022001</v>
      </c>
      <c r="AH26" s="249">
        <f>SUM(AB26:AB29)+AG26</f>
        <v>17.854859613022001</v>
      </c>
      <c r="AI26" s="249">
        <f>SUM(R26:R29,T26:T29)</f>
        <v>23</v>
      </c>
      <c r="AJ26" s="252">
        <f>AG26/AI26</f>
        <v>0.60238520056617395</v>
      </c>
      <c r="AK26" s="230">
        <f>IF(Y26= "Blinde vlek",IF(SUM(AB26:AB29)&lt;-X26,SUM(AB26:AB29),-X26),IF(L26&gt;0,0,IF(L26&lt;-SUM(AB26:AB29),SUM(AB26:AB29),-L26)))</f>
        <v>4</v>
      </c>
      <c r="AL26" s="255">
        <f>AK26*$AQ$8*(AD26+AF26)</f>
        <v>8</v>
      </c>
      <c r="AM26" s="246">
        <f>IF(AK26&gt;0,AL26/SUM(AB26:AB29),0)</f>
        <v>2</v>
      </c>
      <c r="AN26" s="246" t="str">
        <f>IF(AM26&gt;=$AQ$3,$AQ$2,IF(AM26&gt;=$AR$3,$AR$2,IF(AM26&gt;=$AS$3,$AS$2,$AT$2)))</f>
        <v>C</v>
      </c>
    </row>
    <row r="27" spans="1:40" x14ac:dyDescent="0.3">
      <c r="A27" s="16" t="s">
        <v>35</v>
      </c>
      <c r="B27" s="40" t="str">
        <f>'Scoreblad B-O-T-V'!B29</f>
        <v>Oostende</v>
      </c>
      <c r="C27" s="175">
        <f>'Scoreblad B-O-T-V'!C29</f>
        <v>40</v>
      </c>
      <c r="D27" s="178" t="str">
        <f t="shared" si="21"/>
        <v>B-O-T-V</v>
      </c>
      <c r="E27" s="9" t="str">
        <f t="shared" ref="E27:E33" si="31">IF(G27&gt;5,IF(N27&lt;$N$42,"A",IF(N27&gt;$N$44,"C","B")),"Blinde vlek")</f>
        <v>B</v>
      </c>
      <c r="F27" s="9" t="str">
        <f t="shared" ref="F27:F33" si="32">IF(H27&gt;5,IF(O27&lt;$O$42,"A",IF(O27&gt;$O$44,"C","B")),"Blinde vlek")</f>
        <v>Blinde vlek</v>
      </c>
      <c r="G27" s="45">
        <f>SUM(H26:H29)</f>
        <v>40.92000568870214</v>
      </c>
      <c r="H27" s="8">
        <f>'Scoreblad B-O-T-V'!H29</f>
        <v>0</v>
      </c>
      <c r="I27" s="8">
        <f>'Scoreblad B-O-T-V'!I29</f>
        <v>0</v>
      </c>
      <c r="J27" s="8">
        <f>'Scoreblad B-O-T-V'!J29</f>
        <v>0</v>
      </c>
      <c r="K27" s="8">
        <f t="shared" ref="K27:K33" si="33">I27-H27</f>
        <v>0</v>
      </c>
      <c r="L27" s="45">
        <f>SUM(M26:M29)</f>
        <v>-4.1451403869779995</v>
      </c>
      <c r="M27" s="8">
        <f t="shared" ref="M27:M33" si="34">J27-H27</f>
        <v>0</v>
      </c>
      <c r="N27" s="41">
        <f>IF(SUM(J26:J29)&gt;5,SUM(M26:M29)/SUM(J26:J29),"Blinde vlek")</f>
        <v>-0.11271667082853082</v>
      </c>
      <c r="O27" s="10" t="str">
        <f t="shared" ref="O27:O33" si="35">IF(J27&gt;0,(J27-H27)/J27,"Blinde vlek")</f>
        <v>Blinde vlek</v>
      </c>
      <c r="P27" s="45">
        <f>SUM(Q26:Q29)</f>
        <v>41</v>
      </c>
      <c r="Q27" s="8">
        <f>'Scoreblad B-O-T-V'!Q29</f>
        <v>0</v>
      </c>
      <c r="R27" s="8">
        <f>'Scoreblad B-O-T-V'!R29</f>
        <v>0</v>
      </c>
      <c r="S27" s="8">
        <f>'Scoreblad B-O-T-V'!S29</f>
        <v>0</v>
      </c>
      <c r="T27" s="8">
        <f>'Scoreblad B-O-T-V'!T29</f>
        <v>6</v>
      </c>
      <c r="U27" s="8">
        <f t="shared" si="22"/>
        <v>-6</v>
      </c>
      <c r="V27" s="10" t="str">
        <f t="shared" ref="V27:V33" si="36">IF(R27=0,"Blinde vlek",U27/Q27)</f>
        <v>Blinde vlek</v>
      </c>
      <c r="W27" s="8" t="str">
        <f t="shared" ref="W27:W33" si="37">IF(Q27=0,"Blinde vlek",IF(U27/Q27&lt;$X$42,"A",IF(U27/Q27&gt;$X$44,"C","B")))</f>
        <v>Blinde vlek</v>
      </c>
      <c r="X27" s="45">
        <f>SUM(U26:U29)</f>
        <v>18</v>
      </c>
      <c r="Y27" s="8" t="str">
        <f t="shared" ref="Y27:Y33" si="38">IF(P27=0,"Blinde vlek",IF(X27/P27&lt;$Y$42,"A",IF(X27/P27&gt;$Y$44,"C","B")))</f>
        <v>C</v>
      </c>
      <c r="Z27" s="29" t="s">
        <v>35</v>
      </c>
      <c r="AA27" s="19" t="str">
        <f t="shared" si="10"/>
        <v>Oostende</v>
      </c>
      <c r="AB27" s="96">
        <v>1</v>
      </c>
      <c r="AC27" s="44">
        <f t="shared" si="11"/>
        <v>2</v>
      </c>
      <c r="AD27" s="44">
        <f t="shared" si="12"/>
        <v>1</v>
      </c>
      <c r="AE27" s="44">
        <f t="shared" ref="AE27:AE33" si="39">IF(W27= "A",2,IF(W27 = "Blinde vlek",2,IF(W27 = "B",1,0)))</f>
        <v>2</v>
      </c>
      <c r="AF27" s="44">
        <f t="shared" ref="AF27:AF33" si="40">IF(Y27= "A",2,IF(Y27 = "Blinde vlek",2,IF(Y27 = "B",1,0)))</f>
        <v>0</v>
      </c>
      <c r="AG27" s="250"/>
      <c r="AH27" s="250"/>
      <c r="AI27" s="250"/>
      <c r="AJ27" s="253"/>
      <c r="AK27" s="230"/>
      <c r="AL27" s="256"/>
      <c r="AM27" s="247"/>
      <c r="AN27" s="247"/>
    </row>
    <row r="28" spans="1:40" x14ac:dyDescent="0.3">
      <c r="A28" s="16" t="s">
        <v>35</v>
      </c>
      <c r="B28" s="40" t="str">
        <f>'Scoreblad B-O-T-V'!B30</f>
        <v>Torhout</v>
      </c>
      <c r="C28" s="175">
        <f>'Scoreblad B-O-T-V'!C30</f>
        <v>42</v>
      </c>
      <c r="D28" s="178" t="str">
        <f t="shared" si="21"/>
        <v>B-O-T-V</v>
      </c>
      <c r="E28" s="9" t="str">
        <f>IF(G28&gt;5,IF(N28&lt;$N$42,"A",IF(N28&gt;$N$44,"C","B")),"Blinde vlek")</f>
        <v>B</v>
      </c>
      <c r="F28" s="9" t="str">
        <f t="shared" si="32"/>
        <v>Blinde vlek</v>
      </c>
      <c r="G28" s="45">
        <f>SUM(H26:H29)</f>
        <v>40.92000568870214</v>
      </c>
      <c r="H28" s="8">
        <f>'Scoreblad B-O-T-V'!H30</f>
        <v>0</v>
      </c>
      <c r="I28" s="8">
        <f>'Scoreblad B-O-T-V'!I30</f>
        <v>0</v>
      </c>
      <c r="J28" s="8">
        <f>'Scoreblad B-O-T-V'!J30</f>
        <v>0</v>
      </c>
      <c r="K28" s="8">
        <f t="shared" si="33"/>
        <v>0</v>
      </c>
      <c r="L28" s="45">
        <f>SUM(M26:M29)</f>
        <v>-4.1451403869779995</v>
      </c>
      <c r="M28" s="8">
        <f t="shared" si="34"/>
        <v>0</v>
      </c>
      <c r="N28" s="41">
        <f>IF(SUM(J26:J29)&gt;5,SUM(M26:M29)/SUM(J26:J29),"Blinde vlek")</f>
        <v>-0.11271667082853082</v>
      </c>
      <c r="O28" s="10" t="str">
        <f t="shared" si="35"/>
        <v>Blinde vlek</v>
      </c>
      <c r="P28" s="45">
        <f>SUM(Q26:Q29)</f>
        <v>41</v>
      </c>
      <c r="Q28" s="8">
        <f>'Scoreblad B-O-T-V'!Q30</f>
        <v>0</v>
      </c>
      <c r="R28" s="8">
        <f>'Scoreblad B-O-T-V'!R30</f>
        <v>0</v>
      </c>
      <c r="S28" s="8">
        <f>'Scoreblad B-O-T-V'!S30</f>
        <v>0</v>
      </c>
      <c r="T28" s="8">
        <f>'Scoreblad B-O-T-V'!T30</f>
        <v>4</v>
      </c>
      <c r="U28" s="8">
        <f t="shared" si="22"/>
        <v>-4</v>
      </c>
      <c r="V28" s="10" t="str">
        <f t="shared" si="36"/>
        <v>Blinde vlek</v>
      </c>
      <c r="W28" s="8" t="str">
        <f t="shared" si="37"/>
        <v>Blinde vlek</v>
      </c>
      <c r="X28" s="45">
        <f>SUM(U26:U29)</f>
        <v>18</v>
      </c>
      <c r="Y28" s="8" t="str">
        <f t="shared" si="38"/>
        <v>C</v>
      </c>
      <c r="Z28" s="29" t="s">
        <v>35</v>
      </c>
      <c r="AA28" s="19" t="str">
        <f t="shared" si="10"/>
        <v>Torhout</v>
      </c>
      <c r="AB28" s="96">
        <v>1</v>
      </c>
      <c r="AC28" s="44">
        <f t="shared" si="11"/>
        <v>2</v>
      </c>
      <c r="AD28" s="44">
        <f t="shared" si="12"/>
        <v>1</v>
      </c>
      <c r="AE28" s="44">
        <f t="shared" si="39"/>
        <v>2</v>
      </c>
      <c r="AF28" s="44">
        <f t="shared" si="40"/>
        <v>0</v>
      </c>
      <c r="AG28" s="250"/>
      <c r="AH28" s="250"/>
      <c r="AI28" s="250"/>
      <c r="AJ28" s="253"/>
      <c r="AK28" s="230"/>
      <c r="AL28" s="256"/>
      <c r="AM28" s="247"/>
      <c r="AN28" s="247"/>
    </row>
    <row r="29" spans="1:40" x14ac:dyDescent="0.3">
      <c r="A29" s="16" t="s">
        <v>35</v>
      </c>
      <c r="B29" s="40" t="str">
        <f>'Scoreblad B-O-T-V'!B31</f>
        <v>Veurne</v>
      </c>
      <c r="C29" s="175">
        <f>'Scoreblad B-O-T-V'!C31</f>
        <v>43</v>
      </c>
      <c r="D29" s="178" t="str">
        <f t="shared" si="21"/>
        <v>B-O-T-V</v>
      </c>
      <c r="E29" s="9" t="str">
        <f t="shared" si="31"/>
        <v>B</v>
      </c>
      <c r="F29" s="9" t="str">
        <f t="shared" si="32"/>
        <v>Blinde vlek</v>
      </c>
      <c r="G29" s="45">
        <f>SUM(H26:H29)</f>
        <v>40.92000568870214</v>
      </c>
      <c r="H29" s="8">
        <f>'Scoreblad B-O-T-V'!H31</f>
        <v>0</v>
      </c>
      <c r="I29" s="8">
        <f>'Scoreblad B-O-T-V'!I31</f>
        <v>0</v>
      </c>
      <c r="J29" s="8">
        <f>'Scoreblad B-O-T-V'!J31</f>
        <v>0</v>
      </c>
      <c r="K29" s="8">
        <f t="shared" si="33"/>
        <v>0</v>
      </c>
      <c r="L29" s="45">
        <f>SUM(M26:M29)</f>
        <v>-4.1451403869779995</v>
      </c>
      <c r="M29" s="8">
        <f t="shared" si="34"/>
        <v>0</v>
      </c>
      <c r="N29" s="41">
        <f>IF(SUM(J26:J29)&gt;5,SUM(M26:M29)/SUM(J26:J29),"Blinde vlek")</f>
        <v>-0.11271667082853082</v>
      </c>
      <c r="O29" s="10" t="str">
        <f t="shared" si="35"/>
        <v>Blinde vlek</v>
      </c>
      <c r="P29" s="45">
        <f>SUM(Q26:Q29)</f>
        <v>41</v>
      </c>
      <c r="Q29" s="8">
        <f>'Scoreblad B-O-T-V'!Q31</f>
        <v>0</v>
      </c>
      <c r="R29" s="8">
        <f>'Scoreblad B-O-T-V'!R31</f>
        <v>0</v>
      </c>
      <c r="S29" s="8">
        <f>'Scoreblad B-O-T-V'!S31</f>
        <v>0</v>
      </c>
      <c r="T29" s="8">
        <f>'Scoreblad B-O-T-V'!T31</f>
        <v>0</v>
      </c>
      <c r="U29" s="8">
        <f t="shared" si="22"/>
        <v>0</v>
      </c>
      <c r="V29" s="10" t="str">
        <f t="shared" si="36"/>
        <v>Blinde vlek</v>
      </c>
      <c r="W29" s="8" t="str">
        <f t="shared" si="37"/>
        <v>Blinde vlek</v>
      </c>
      <c r="X29" s="45">
        <f>SUM(U26:U29)</f>
        <v>18</v>
      </c>
      <c r="Y29" s="8" t="str">
        <f t="shared" si="38"/>
        <v>C</v>
      </c>
      <c r="Z29" s="29" t="s">
        <v>35</v>
      </c>
      <c r="AA29" s="19" t="str">
        <f t="shared" si="10"/>
        <v>Veurne</v>
      </c>
      <c r="AB29" s="96">
        <v>1</v>
      </c>
      <c r="AC29" s="44">
        <f t="shared" si="11"/>
        <v>2</v>
      </c>
      <c r="AD29" s="44">
        <f t="shared" si="12"/>
        <v>1</v>
      </c>
      <c r="AE29" s="44">
        <f t="shared" si="39"/>
        <v>2</v>
      </c>
      <c r="AF29" s="44">
        <f t="shared" si="40"/>
        <v>0</v>
      </c>
      <c r="AG29" s="251"/>
      <c r="AH29" s="251"/>
      <c r="AI29" s="251"/>
      <c r="AJ29" s="254"/>
      <c r="AK29" s="230"/>
      <c r="AL29" s="257"/>
      <c r="AM29" s="248"/>
      <c r="AN29" s="248"/>
    </row>
    <row r="30" spans="1:40" x14ac:dyDescent="0.3">
      <c r="A30" s="13" t="s">
        <v>36</v>
      </c>
      <c r="B30" s="40" t="str">
        <f>'Scoreblad B-O-T-V'!B32</f>
        <v>Brugge</v>
      </c>
      <c r="C30" s="175">
        <f>'Scoreblad B-O-T-V'!C32</f>
        <v>37</v>
      </c>
      <c r="D30" s="178" t="str">
        <f t="shared" si="21"/>
        <v>B-O-T-V</v>
      </c>
      <c r="E30" s="9" t="str">
        <f t="shared" si="31"/>
        <v>B</v>
      </c>
      <c r="F30" s="9" t="str">
        <f t="shared" si="32"/>
        <v>B</v>
      </c>
      <c r="G30" s="45">
        <f>SUM(H30:H33)</f>
        <v>111.7347557046439</v>
      </c>
      <c r="H30" s="8">
        <f>'Scoreblad B-O-T-V'!H32</f>
        <v>111.7347557046439</v>
      </c>
      <c r="I30" s="8">
        <f>'Scoreblad B-O-T-V'!I32</f>
        <v>144.97074670385396</v>
      </c>
      <c r="J30" s="8">
        <f>'Scoreblad B-O-T-V'!J32</f>
        <v>123.22513469827587</v>
      </c>
      <c r="K30" s="8">
        <f t="shared" si="33"/>
        <v>33.23599099921006</v>
      </c>
      <c r="L30" s="45">
        <f>SUM(M30:M33)</f>
        <v>11.490378993631964</v>
      </c>
      <c r="M30" s="8">
        <f t="shared" si="34"/>
        <v>11.490378993631964</v>
      </c>
      <c r="N30" s="41">
        <f>IF(SUM(J30:J33)&gt;5,SUM(M30:M33)/SUM(J30:J33),"Blinde vlek")</f>
        <v>9.3247039427198405E-2</v>
      </c>
      <c r="O30" s="10">
        <f t="shared" si="35"/>
        <v>9.3247039427198405E-2</v>
      </c>
      <c r="P30" s="45">
        <f>SUM(Q30:Q33)</f>
        <v>112</v>
      </c>
      <c r="Q30" s="8">
        <f>'Scoreblad B-O-T-V'!Q32</f>
        <v>112</v>
      </c>
      <c r="R30" s="8">
        <f>'Scoreblad B-O-T-V'!R32</f>
        <v>56</v>
      </c>
      <c r="S30" s="8">
        <f>'Scoreblad B-O-T-V'!S32</f>
        <v>56</v>
      </c>
      <c r="T30" s="8">
        <f>'Scoreblad B-O-T-V'!T32</f>
        <v>0</v>
      </c>
      <c r="U30" s="8">
        <f t="shared" si="22"/>
        <v>56</v>
      </c>
      <c r="V30" s="10">
        <f t="shared" si="36"/>
        <v>0.5</v>
      </c>
      <c r="W30" s="8" t="str">
        <f t="shared" si="37"/>
        <v>C</v>
      </c>
      <c r="X30" s="45">
        <f>SUM(U30:U33)</f>
        <v>24</v>
      </c>
      <c r="Y30" s="8" t="str">
        <f t="shared" si="38"/>
        <v>C</v>
      </c>
      <c r="Z30" s="27" t="s">
        <v>36</v>
      </c>
      <c r="AA30" s="19" t="str">
        <f t="shared" si="10"/>
        <v>Brugge</v>
      </c>
      <c r="AB30" s="96">
        <v>1</v>
      </c>
      <c r="AC30" s="44">
        <f t="shared" si="11"/>
        <v>1</v>
      </c>
      <c r="AD30" s="44">
        <f t="shared" si="12"/>
        <v>1</v>
      </c>
      <c r="AE30" s="44">
        <f t="shared" si="39"/>
        <v>0</v>
      </c>
      <c r="AF30" s="44">
        <f t="shared" si="40"/>
        <v>0</v>
      </c>
      <c r="AG30" s="222">
        <f>L30+X30</f>
        <v>35.490378993631964</v>
      </c>
      <c r="AH30" s="222">
        <f>SUM(AB30:AB33)+AG30</f>
        <v>39.490378993631964</v>
      </c>
      <c r="AI30" s="222">
        <f>SUM(R30:R33,T30:T33)</f>
        <v>88</v>
      </c>
      <c r="AJ30" s="258">
        <f>AG30/AI30</f>
        <v>0.40329976129127232</v>
      </c>
      <c r="AK30" s="222">
        <f>IF(Y30= "Blinde vlek",IF(SUM(AB30:AB33)&lt;-X30,SUM(AB30:AB33),-X30),IF(L30&gt;0,0,IF(L30&lt;-SUM(AB30:AB33),SUM(AB30:AB33),-L30)))</f>
        <v>0</v>
      </c>
      <c r="AL30" s="259">
        <f>AK30*$AQ$8*(AD30+AF30)</f>
        <v>0</v>
      </c>
      <c r="AM30" s="245">
        <f>IF(AK30&gt;0,AL30/SUM(AB30:AB33),0)</f>
        <v>0</v>
      </c>
      <c r="AN30" s="246" t="str">
        <f>IF(AM30&gt;=$AQ$3,$AQ$2,IF(AM30&gt;=$AR$3,$AR$2,IF(AM30&gt;=$AS$3,$AS$2,$AT$2)))</f>
        <v>D</v>
      </c>
    </row>
    <row r="31" spans="1:40" x14ac:dyDescent="0.3">
      <c r="A31" s="13" t="s">
        <v>36</v>
      </c>
      <c r="B31" s="40" t="str">
        <f>'Scoreblad B-O-T-V'!B33</f>
        <v>Oostende</v>
      </c>
      <c r="C31" s="175">
        <f>'Scoreblad B-O-T-V'!C33</f>
        <v>40</v>
      </c>
      <c r="D31" s="178" t="str">
        <f t="shared" si="21"/>
        <v>B-O-T-V</v>
      </c>
      <c r="E31" s="9" t="str">
        <f t="shared" si="31"/>
        <v>B</v>
      </c>
      <c r="F31" s="9" t="str">
        <f t="shared" si="32"/>
        <v>Blinde vlek</v>
      </c>
      <c r="G31" s="45">
        <f>SUM(H30:H33)</f>
        <v>111.7347557046439</v>
      </c>
      <c r="H31" s="8">
        <f>'Scoreblad B-O-T-V'!H33</f>
        <v>0</v>
      </c>
      <c r="I31" s="8">
        <f>'Scoreblad B-O-T-V'!I33</f>
        <v>0</v>
      </c>
      <c r="J31" s="8">
        <f>'Scoreblad B-O-T-V'!J33</f>
        <v>0</v>
      </c>
      <c r="K31" s="8">
        <f t="shared" si="33"/>
        <v>0</v>
      </c>
      <c r="L31" s="45">
        <f>SUM(M30:M33)</f>
        <v>11.490378993631964</v>
      </c>
      <c r="M31" s="8">
        <f t="shared" si="34"/>
        <v>0</v>
      </c>
      <c r="N31" s="41">
        <f>IF(SUM(J30:J33)&gt;5,SUM(M30:M33)/SUM(J30:J33),"Blinde vlek")</f>
        <v>9.3247039427198405E-2</v>
      </c>
      <c r="O31" s="10" t="str">
        <f t="shared" si="35"/>
        <v>Blinde vlek</v>
      </c>
      <c r="P31" s="45">
        <f>SUM(Q30:Q33)</f>
        <v>112</v>
      </c>
      <c r="Q31" s="8">
        <f>'Scoreblad B-O-T-V'!Q33</f>
        <v>0</v>
      </c>
      <c r="R31" s="8">
        <f>'Scoreblad B-O-T-V'!R33</f>
        <v>0</v>
      </c>
      <c r="S31" s="8">
        <f>'Scoreblad B-O-T-V'!S33</f>
        <v>0</v>
      </c>
      <c r="T31" s="8">
        <f>'Scoreblad B-O-T-V'!T33</f>
        <v>17</v>
      </c>
      <c r="U31" s="8">
        <f t="shared" si="22"/>
        <v>-17</v>
      </c>
      <c r="V31" s="10" t="str">
        <f t="shared" si="36"/>
        <v>Blinde vlek</v>
      </c>
      <c r="W31" s="8" t="str">
        <f t="shared" si="37"/>
        <v>Blinde vlek</v>
      </c>
      <c r="X31" s="45">
        <f>SUM(U30:U33)</f>
        <v>24</v>
      </c>
      <c r="Y31" s="8" t="str">
        <f t="shared" si="38"/>
        <v>C</v>
      </c>
      <c r="Z31" s="27" t="s">
        <v>36</v>
      </c>
      <c r="AA31" s="19" t="str">
        <f t="shared" si="10"/>
        <v>Oostende</v>
      </c>
      <c r="AB31" s="96">
        <v>1</v>
      </c>
      <c r="AC31" s="44">
        <f t="shared" si="11"/>
        <v>2</v>
      </c>
      <c r="AD31" s="44">
        <f t="shared" si="12"/>
        <v>1</v>
      </c>
      <c r="AE31" s="44">
        <f t="shared" si="39"/>
        <v>2</v>
      </c>
      <c r="AF31" s="44">
        <f t="shared" si="40"/>
        <v>0</v>
      </c>
      <c r="AG31" s="222"/>
      <c r="AH31" s="222"/>
      <c r="AI31" s="222"/>
      <c r="AJ31" s="258"/>
      <c r="AK31" s="222"/>
      <c r="AL31" s="260"/>
      <c r="AM31" s="245"/>
      <c r="AN31" s="247"/>
    </row>
    <row r="32" spans="1:40" x14ac:dyDescent="0.3">
      <c r="A32" s="13" t="s">
        <v>36</v>
      </c>
      <c r="B32" s="170" t="str">
        <f>'Scoreblad B-O-T-V'!B34</f>
        <v>Torhout</v>
      </c>
      <c r="C32" s="175">
        <f>'Scoreblad B-O-T-V'!C34</f>
        <v>42</v>
      </c>
      <c r="D32" s="178" t="str">
        <f t="shared" si="21"/>
        <v>B-O-T-V</v>
      </c>
      <c r="E32" s="9" t="str">
        <f t="shared" si="31"/>
        <v>B</v>
      </c>
      <c r="F32" s="9" t="str">
        <f t="shared" si="32"/>
        <v>Blinde vlek</v>
      </c>
      <c r="G32" s="45">
        <f>SUM(H30:H33)</f>
        <v>111.7347557046439</v>
      </c>
      <c r="H32" s="8">
        <f>'Scoreblad B-O-T-V'!H34</f>
        <v>0</v>
      </c>
      <c r="I32" s="171">
        <f>'Scoreblad B-O-T-V'!I34</f>
        <v>0</v>
      </c>
      <c r="J32" s="171">
        <f>'Scoreblad B-O-T-V'!J34</f>
        <v>0</v>
      </c>
      <c r="K32" s="8">
        <f t="shared" si="33"/>
        <v>0</v>
      </c>
      <c r="L32" s="45">
        <f>SUM(M30:M33)</f>
        <v>11.490378993631964</v>
      </c>
      <c r="M32" s="8">
        <f t="shared" si="34"/>
        <v>0</v>
      </c>
      <c r="N32" s="41">
        <f>IF(SUM(J30:J33)&gt;5,SUM(M30:M33)/SUM(J30:J33),"Blinde vlek")</f>
        <v>9.3247039427198405E-2</v>
      </c>
      <c r="O32" s="10" t="str">
        <f t="shared" si="35"/>
        <v>Blinde vlek</v>
      </c>
      <c r="P32" s="45">
        <f>SUM(Q30:Q33)</f>
        <v>112</v>
      </c>
      <c r="Q32" s="8">
        <f>'Scoreblad B-O-T-V'!Q34</f>
        <v>0</v>
      </c>
      <c r="R32" s="8">
        <f>'Scoreblad B-O-T-V'!R34</f>
        <v>0</v>
      </c>
      <c r="S32" s="8">
        <f>'Scoreblad B-O-T-V'!S34</f>
        <v>0</v>
      </c>
      <c r="T32" s="8">
        <f>'Scoreblad B-O-T-V'!T34</f>
        <v>7</v>
      </c>
      <c r="U32" s="8">
        <f t="shared" si="22"/>
        <v>-7</v>
      </c>
      <c r="V32" s="10" t="str">
        <f t="shared" si="36"/>
        <v>Blinde vlek</v>
      </c>
      <c r="W32" s="8" t="str">
        <f t="shared" si="37"/>
        <v>Blinde vlek</v>
      </c>
      <c r="X32" s="45">
        <f>SUM(U30:U33)</f>
        <v>24</v>
      </c>
      <c r="Y32" s="8" t="str">
        <f t="shared" si="38"/>
        <v>C</v>
      </c>
      <c r="Z32" s="27" t="s">
        <v>36</v>
      </c>
      <c r="AA32" s="19" t="str">
        <f t="shared" si="10"/>
        <v>Torhout</v>
      </c>
      <c r="AB32" s="96">
        <v>1</v>
      </c>
      <c r="AC32" s="44">
        <f t="shared" si="11"/>
        <v>2</v>
      </c>
      <c r="AD32" s="44">
        <f t="shared" si="12"/>
        <v>1</v>
      </c>
      <c r="AE32" s="44">
        <f t="shared" si="39"/>
        <v>2</v>
      </c>
      <c r="AF32" s="44">
        <f t="shared" si="40"/>
        <v>0</v>
      </c>
      <c r="AG32" s="222"/>
      <c r="AH32" s="222"/>
      <c r="AI32" s="222"/>
      <c r="AJ32" s="258"/>
      <c r="AK32" s="222"/>
      <c r="AL32" s="260"/>
      <c r="AM32" s="245"/>
      <c r="AN32" s="247"/>
    </row>
    <row r="33" spans="1:40" x14ac:dyDescent="0.3">
      <c r="A33" s="13" t="s">
        <v>36</v>
      </c>
      <c r="B33" s="40" t="str">
        <f>'Scoreblad B-O-T-V'!B35</f>
        <v>Veurne</v>
      </c>
      <c r="C33" s="175">
        <f>'Scoreblad B-O-T-V'!C35</f>
        <v>43</v>
      </c>
      <c r="D33" s="178" t="str">
        <f t="shared" si="21"/>
        <v>B-O-T-V</v>
      </c>
      <c r="E33" s="9" t="str">
        <f t="shared" si="31"/>
        <v>B</v>
      </c>
      <c r="F33" s="9" t="str">
        <f t="shared" si="32"/>
        <v>Blinde vlek</v>
      </c>
      <c r="G33" s="45">
        <f>SUM(H30:H33)</f>
        <v>111.7347557046439</v>
      </c>
      <c r="H33" s="8">
        <f>'Scoreblad B-O-T-V'!H35</f>
        <v>0</v>
      </c>
      <c r="I33" s="8">
        <f>'Scoreblad B-O-T-V'!I35</f>
        <v>0</v>
      </c>
      <c r="J33" s="8">
        <f>'Scoreblad B-O-T-V'!J35</f>
        <v>0</v>
      </c>
      <c r="K33" s="8">
        <f t="shared" si="33"/>
        <v>0</v>
      </c>
      <c r="L33" s="45">
        <f>SUM(M30:M33)</f>
        <v>11.490378993631964</v>
      </c>
      <c r="M33" s="8">
        <f t="shared" si="34"/>
        <v>0</v>
      </c>
      <c r="N33" s="41">
        <f>IF(SUM(J30:J33)&gt;5,SUM(M30:M33)/SUM(J30:J33),"Blinde vlek")</f>
        <v>9.3247039427198405E-2</v>
      </c>
      <c r="O33" s="10" t="str">
        <f t="shared" si="35"/>
        <v>Blinde vlek</v>
      </c>
      <c r="P33" s="45">
        <f>SUM(Q30:Q33)</f>
        <v>112</v>
      </c>
      <c r="Q33" s="8">
        <f>'Scoreblad B-O-T-V'!Q35</f>
        <v>0</v>
      </c>
      <c r="R33" s="8">
        <f>'Scoreblad B-O-T-V'!R35</f>
        <v>0</v>
      </c>
      <c r="S33" s="8">
        <f>'Scoreblad B-O-T-V'!S35</f>
        <v>0</v>
      </c>
      <c r="T33" s="8">
        <f>'Scoreblad B-O-T-V'!T35</f>
        <v>8</v>
      </c>
      <c r="U33" s="8">
        <f t="shared" si="22"/>
        <v>-8</v>
      </c>
      <c r="V33" s="10" t="str">
        <f t="shared" si="36"/>
        <v>Blinde vlek</v>
      </c>
      <c r="W33" s="8" t="str">
        <f t="shared" si="37"/>
        <v>Blinde vlek</v>
      </c>
      <c r="X33" s="45">
        <f>SUM(U30:U33)</f>
        <v>24</v>
      </c>
      <c r="Y33" s="8" t="str">
        <f t="shared" si="38"/>
        <v>C</v>
      </c>
      <c r="Z33" s="27" t="s">
        <v>36</v>
      </c>
      <c r="AA33" s="19" t="str">
        <f t="shared" si="10"/>
        <v>Veurne</v>
      </c>
      <c r="AB33" s="96">
        <v>1</v>
      </c>
      <c r="AC33" s="44">
        <f t="shared" si="11"/>
        <v>2</v>
      </c>
      <c r="AD33" s="44">
        <f t="shared" si="12"/>
        <v>1</v>
      </c>
      <c r="AE33" s="44">
        <f t="shared" si="39"/>
        <v>2</v>
      </c>
      <c r="AF33" s="44">
        <f t="shared" si="40"/>
        <v>0</v>
      </c>
      <c r="AG33" s="222"/>
      <c r="AH33" s="222"/>
      <c r="AI33" s="222"/>
      <c r="AJ33" s="258"/>
      <c r="AK33" s="222"/>
      <c r="AL33" s="261"/>
      <c r="AM33" s="245"/>
      <c r="AN33" s="248"/>
    </row>
    <row r="40" spans="1:40" ht="43.2" x14ac:dyDescent="0.3">
      <c r="E40" s="20" t="s">
        <v>10</v>
      </c>
      <c r="F40" s="20" t="s">
        <v>38</v>
      </c>
      <c r="G40" s="42" t="s">
        <v>11</v>
      </c>
      <c r="H40" s="42" t="s">
        <v>11</v>
      </c>
      <c r="I40" s="241" t="s">
        <v>49</v>
      </c>
      <c r="J40" s="242"/>
      <c r="K40" s="242"/>
      <c r="L40" s="242"/>
      <c r="M40" s="243"/>
      <c r="N40" s="31" t="s">
        <v>15</v>
      </c>
      <c r="O40" s="31" t="s">
        <v>15</v>
      </c>
      <c r="P40" s="20" t="s">
        <v>75</v>
      </c>
      <c r="Q40" s="6" t="s">
        <v>17</v>
      </c>
      <c r="R40" s="244" t="s">
        <v>22</v>
      </c>
      <c r="S40" s="244"/>
      <c r="T40" s="244"/>
      <c r="U40" s="244"/>
      <c r="V40" s="244"/>
      <c r="W40" s="244"/>
      <c r="X40" s="33" t="s">
        <v>76</v>
      </c>
      <c r="Y40" s="33" t="s">
        <v>74</v>
      </c>
    </row>
    <row r="41" spans="1:40" x14ac:dyDescent="0.3">
      <c r="E41" s="7" t="s">
        <v>37</v>
      </c>
      <c r="F41" s="7" t="s">
        <v>37</v>
      </c>
      <c r="G41" s="44" t="s">
        <v>48</v>
      </c>
      <c r="H41" s="44" t="s">
        <v>48</v>
      </c>
      <c r="I41" s="237" t="s">
        <v>58</v>
      </c>
      <c r="J41" s="238"/>
      <c r="K41" s="238"/>
      <c r="L41" s="238"/>
      <c r="M41" s="239"/>
      <c r="N41" s="26"/>
      <c r="O41" s="26"/>
      <c r="P41" s="7" t="s">
        <v>37</v>
      </c>
      <c r="Q41" s="44">
        <v>0</v>
      </c>
      <c r="R41" s="240"/>
      <c r="S41" s="240"/>
      <c r="T41" s="240"/>
      <c r="U41" s="240"/>
      <c r="V41" s="240"/>
      <c r="W41" s="240"/>
      <c r="X41" s="53"/>
      <c r="Y41" s="26"/>
    </row>
    <row r="42" spans="1:40" x14ac:dyDescent="0.3">
      <c r="E42" s="23" t="s">
        <v>11</v>
      </c>
      <c r="F42" s="23" t="s">
        <v>11</v>
      </c>
      <c r="G42" s="44" t="s">
        <v>47</v>
      </c>
      <c r="H42" s="44" t="s">
        <v>47</v>
      </c>
      <c r="I42" s="237" t="s">
        <v>56</v>
      </c>
      <c r="J42" s="238"/>
      <c r="K42" s="238"/>
      <c r="L42" s="238"/>
      <c r="M42" s="239"/>
      <c r="N42" s="32">
        <v>-0.25</v>
      </c>
      <c r="O42" s="32">
        <v>-0.25</v>
      </c>
      <c r="P42" s="23" t="s">
        <v>11</v>
      </c>
      <c r="Q42" s="44" t="s">
        <v>50</v>
      </c>
      <c r="R42" s="240" t="s">
        <v>52</v>
      </c>
      <c r="S42" s="240"/>
      <c r="T42" s="240"/>
      <c r="U42" s="240"/>
      <c r="V42" s="240"/>
      <c r="W42" s="240"/>
      <c r="X42" s="32">
        <v>-0.2</v>
      </c>
      <c r="Y42" s="30">
        <v>-0.2</v>
      </c>
    </row>
    <row r="43" spans="1:40" x14ac:dyDescent="0.3">
      <c r="E43" s="23" t="s">
        <v>12</v>
      </c>
      <c r="F43" s="23" t="s">
        <v>12</v>
      </c>
      <c r="G43" s="44" t="s">
        <v>47</v>
      </c>
      <c r="H43" s="44" t="s">
        <v>47</v>
      </c>
      <c r="I43" s="237" t="s">
        <v>46</v>
      </c>
      <c r="J43" s="238"/>
      <c r="K43" s="238"/>
      <c r="L43" s="238"/>
      <c r="M43" s="239"/>
      <c r="N43" s="43"/>
      <c r="O43" s="43"/>
      <c r="P43" s="23" t="s">
        <v>12</v>
      </c>
      <c r="Q43" s="44" t="s">
        <v>50</v>
      </c>
      <c r="R43" s="240" t="s">
        <v>53</v>
      </c>
      <c r="S43" s="240"/>
      <c r="T43" s="240"/>
      <c r="U43" s="240"/>
      <c r="V43" s="240"/>
      <c r="W43" s="240"/>
      <c r="X43" s="43"/>
      <c r="Y43" s="44"/>
    </row>
    <row r="44" spans="1:40" x14ac:dyDescent="0.3">
      <c r="E44" s="23" t="s">
        <v>13</v>
      </c>
      <c r="F44" s="23" t="s">
        <v>13</v>
      </c>
      <c r="G44" s="44" t="s">
        <v>47</v>
      </c>
      <c r="H44" s="44" t="s">
        <v>47</v>
      </c>
      <c r="I44" s="237" t="s">
        <v>57</v>
      </c>
      <c r="J44" s="238"/>
      <c r="K44" s="238"/>
      <c r="L44" s="238"/>
      <c r="M44" s="239"/>
      <c r="N44" s="39">
        <v>0.1</v>
      </c>
      <c r="O44" s="39">
        <v>0.1</v>
      </c>
      <c r="P44" s="23" t="s">
        <v>13</v>
      </c>
      <c r="Q44" s="44" t="s">
        <v>50</v>
      </c>
      <c r="R44" s="240" t="s">
        <v>54</v>
      </c>
      <c r="S44" s="240"/>
      <c r="T44" s="240"/>
      <c r="U44" s="240"/>
      <c r="V44" s="240"/>
      <c r="W44" s="240"/>
      <c r="X44" s="39">
        <v>0.2</v>
      </c>
      <c r="Y44" s="10">
        <v>0.2</v>
      </c>
    </row>
  </sheetData>
  <sheetProtection algorithmName="SHA-512" hashValue="ozVUYdmOxCFRa2Xj74QnrpF9ln56+VJjGB8+cJk6GxGfonWMDhIt5oOwZ0AfRwteyxq0iZbIJPXTi9YLYs90Jw==" saltValue="2cNqxTBT/A0Wtxv5gQakMw==" spinCount="100000" sheet="1" objects="1" scenarios="1" autoFilter="0"/>
  <autoFilter ref="A5:AN33" xr:uid="{CB61C91B-CA0C-47DC-A1F5-99B61192C184}"/>
  <mergeCells count="30">
    <mergeCell ref="AM30:AM33"/>
    <mergeCell ref="AN30:AN33"/>
    <mergeCell ref="AG26:AG29"/>
    <mergeCell ref="AH26:AH29"/>
    <mergeCell ref="AI26:AI29"/>
    <mergeCell ref="AJ26:AJ29"/>
    <mergeCell ref="AK26:AK29"/>
    <mergeCell ref="AL26:AL29"/>
    <mergeCell ref="AM26:AM29"/>
    <mergeCell ref="AN26:AN29"/>
    <mergeCell ref="AI30:AI33"/>
    <mergeCell ref="AJ30:AJ33"/>
    <mergeCell ref="AK30:AK33"/>
    <mergeCell ref="AL30:AL33"/>
    <mergeCell ref="AH30:AH33"/>
    <mergeCell ref="I44:M44"/>
    <mergeCell ref="R44:W44"/>
    <mergeCell ref="AG30:AG33"/>
    <mergeCell ref="I40:M40"/>
    <mergeCell ref="R40:W40"/>
    <mergeCell ref="I41:M41"/>
    <mergeCell ref="R41:W41"/>
    <mergeCell ref="I42:M42"/>
    <mergeCell ref="R42:W42"/>
    <mergeCell ref="G1:H1"/>
    <mergeCell ref="L1:M1"/>
    <mergeCell ref="N1:O1"/>
    <mergeCell ref="P1:Y1"/>
    <mergeCell ref="I43:M43"/>
    <mergeCell ref="R43:W43"/>
  </mergeCells>
  <conditionalFormatting sqref="N5:O5">
    <cfRule type="colorScale" priority="168">
      <colorScale>
        <cfvo type="min"/>
        <cfvo type="percentile" val="50"/>
        <cfvo type="max"/>
        <color rgb="FFF8696B"/>
        <color rgb="FFFFEB84"/>
        <color rgb="FF63BE7B"/>
      </colorScale>
    </cfRule>
  </conditionalFormatting>
  <conditionalFormatting sqref="O6:O33">
    <cfRule type="colorScale" priority="162">
      <colorScale>
        <cfvo type="min"/>
        <cfvo type="percentile" val="50"/>
        <cfvo type="max"/>
        <color rgb="FFF8696B"/>
        <color rgb="FFFFEB84"/>
        <color rgb="FF63BE7B"/>
      </colorScale>
    </cfRule>
  </conditionalFormatting>
  <conditionalFormatting sqref="N1">
    <cfRule type="colorScale" priority="166">
      <colorScale>
        <cfvo type="min"/>
        <cfvo type="percentile" val="50"/>
        <cfvo type="max"/>
        <color rgb="FFF8696B"/>
        <color rgb="FFFFEB84"/>
        <color rgb="FF63BE7B"/>
      </colorScale>
    </cfRule>
  </conditionalFormatting>
  <conditionalFormatting sqref="I40">
    <cfRule type="colorScale" priority="165">
      <colorScale>
        <cfvo type="min"/>
        <cfvo type="percentile" val="50"/>
        <cfvo type="max"/>
        <color rgb="FFF8696B"/>
        <color rgb="FFFFEB84"/>
        <color rgb="FF63BE7B"/>
      </colorScale>
    </cfRule>
  </conditionalFormatting>
  <conditionalFormatting sqref="O40">
    <cfRule type="colorScale" priority="164">
      <colorScale>
        <cfvo type="min"/>
        <cfvo type="percentile" val="50"/>
        <cfvo type="max"/>
        <color rgb="FFF8696B"/>
        <color rgb="FFFFEB84"/>
        <color rgb="FF63BE7B"/>
      </colorScale>
    </cfRule>
  </conditionalFormatting>
  <conditionalFormatting sqref="R40">
    <cfRule type="colorScale" priority="163">
      <colorScale>
        <cfvo type="min"/>
        <cfvo type="percentile" val="50"/>
        <cfvo type="max"/>
        <color rgb="FFF8696B"/>
        <color rgb="FFFFEB84"/>
        <color rgb="FF63BE7B"/>
      </colorScale>
    </cfRule>
  </conditionalFormatting>
  <conditionalFormatting sqref="AG1">
    <cfRule type="colorScale" priority="160">
      <colorScale>
        <cfvo type="min"/>
        <cfvo type="percentile" val="50"/>
        <cfvo type="max"/>
        <color rgb="FFF8696B"/>
        <color rgb="FFFFEB84"/>
        <color rgb="FF63BE7B"/>
      </colorScale>
    </cfRule>
  </conditionalFormatting>
  <conditionalFormatting sqref="M6:M33">
    <cfRule type="colorScale" priority="169">
      <colorScale>
        <cfvo type="min"/>
        <cfvo type="percentile" val="50"/>
        <cfvo type="max"/>
        <color rgb="FFF8696B"/>
        <color rgb="FFFFEB84"/>
        <color rgb="FF63BE7B"/>
      </colorScale>
    </cfRule>
  </conditionalFormatting>
  <conditionalFormatting sqref="M6:M20">
    <cfRule type="colorScale" priority="170">
      <colorScale>
        <cfvo type="min"/>
        <cfvo type="percentile" val="50"/>
        <cfvo type="max"/>
        <color rgb="FFF8696B"/>
        <color rgb="FFFFEB84"/>
        <color rgb="FF63BE7B"/>
      </colorScale>
    </cfRule>
  </conditionalFormatting>
  <conditionalFormatting sqref="L1">
    <cfRule type="colorScale" priority="171">
      <colorScale>
        <cfvo type="min"/>
        <cfvo type="percentile" val="50"/>
        <cfvo type="max"/>
        <color rgb="FFF8696B"/>
        <color rgb="FFFFEB84"/>
        <color rgb="FF63BE7B"/>
      </colorScale>
    </cfRule>
  </conditionalFormatting>
  <conditionalFormatting sqref="N40">
    <cfRule type="colorScale" priority="153">
      <colorScale>
        <cfvo type="min"/>
        <cfvo type="percentile" val="50"/>
        <cfvo type="max"/>
        <color rgb="FFF8696B"/>
        <color rgb="FFFFEB84"/>
        <color rgb="FF63BE7B"/>
      </colorScale>
    </cfRule>
  </conditionalFormatting>
  <conditionalFormatting sqref="N2:O2">
    <cfRule type="colorScale" priority="123">
      <colorScale>
        <cfvo type="min"/>
        <cfvo type="percentile" val="50"/>
        <cfvo type="max"/>
        <color rgb="FFF8696B"/>
        <color rgb="FFFFEB84"/>
        <color rgb="FF63BE7B"/>
      </colorScale>
    </cfRule>
  </conditionalFormatting>
  <conditionalFormatting sqref="L2:M2">
    <cfRule type="colorScale" priority="172">
      <colorScale>
        <cfvo type="min"/>
        <cfvo type="percentile" val="50"/>
        <cfvo type="max"/>
        <color rgb="FFF8696B"/>
        <color rgb="FFFFEB84"/>
        <color rgb="FF63BE7B"/>
      </colorScale>
    </cfRule>
  </conditionalFormatting>
  <conditionalFormatting sqref="L5:M5">
    <cfRule type="colorScale" priority="173">
      <colorScale>
        <cfvo type="min"/>
        <cfvo type="percentile" val="50"/>
        <cfvo type="max"/>
        <color rgb="FFF8696B"/>
        <color rgb="FFFFEB84"/>
        <color rgb="FF63BE7B"/>
      </colorScale>
    </cfRule>
  </conditionalFormatting>
  <conditionalFormatting sqref="N9">
    <cfRule type="colorScale" priority="64">
      <colorScale>
        <cfvo type="min"/>
        <cfvo type="percentile" val="50"/>
        <cfvo type="max"/>
        <color rgb="FFF8696B"/>
        <color rgb="FFFFEB84"/>
        <color rgb="FF63BE7B"/>
      </colorScale>
    </cfRule>
  </conditionalFormatting>
  <conditionalFormatting sqref="N7:N9">
    <cfRule type="colorScale" priority="60">
      <colorScale>
        <cfvo type="min"/>
        <cfvo type="percentile" val="50"/>
        <cfvo type="max"/>
        <color rgb="FFF8696B"/>
        <color rgb="FFFFEB84"/>
        <color rgb="FF63BE7B"/>
      </colorScale>
    </cfRule>
  </conditionalFormatting>
  <conditionalFormatting sqref="N7">
    <cfRule type="colorScale" priority="63">
      <colorScale>
        <cfvo type="min"/>
        <cfvo type="percentile" val="50"/>
        <cfvo type="max"/>
        <color rgb="FFF8696B"/>
        <color rgb="FFFFEB84"/>
        <color rgb="FF63BE7B"/>
      </colorScale>
    </cfRule>
  </conditionalFormatting>
  <conditionalFormatting sqref="N8">
    <cfRule type="colorScale" priority="62">
      <colorScale>
        <cfvo type="min"/>
        <cfvo type="percentile" val="50"/>
        <cfvo type="max"/>
        <color rgb="FFF8696B"/>
        <color rgb="FFFFEB84"/>
        <color rgb="FF63BE7B"/>
      </colorScale>
    </cfRule>
  </conditionalFormatting>
  <conditionalFormatting sqref="N9">
    <cfRule type="colorScale" priority="61">
      <colorScale>
        <cfvo type="min"/>
        <cfvo type="percentile" val="50"/>
        <cfvo type="max"/>
        <color rgb="FFF8696B"/>
        <color rgb="FFFFEB84"/>
        <color rgb="FF63BE7B"/>
      </colorScale>
    </cfRule>
  </conditionalFormatting>
  <conditionalFormatting sqref="N6">
    <cfRule type="colorScale" priority="59">
      <colorScale>
        <cfvo type="min"/>
        <cfvo type="percentile" val="50"/>
        <cfvo type="max"/>
        <color rgb="FFF8696B"/>
        <color rgb="FFFFEB84"/>
        <color rgb="FF63BE7B"/>
      </colorScale>
    </cfRule>
  </conditionalFormatting>
  <conditionalFormatting sqref="N6">
    <cfRule type="colorScale" priority="58">
      <colorScale>
        <cfvo type="min"/>
        <cfvo type="percentile" val="50"/>
        <cfvo type="max"/>
        <color rgb="FFF8696B"/>
        <color rgb="FFFFEB84"/>
        <color rgb="FF63BE7B"/>
      </colorScale>
    </cfRule>
  </conditionalFormatting>
  <conditionalFormatting sqref="N6">
    <cfRule type="colorScale" priority="57">
      <colorScale>
        <cfvo type="min"/>
        <cfvo type="percentile" val="50"/>
        <cfvo type="max"/>
        <color rgb="FFF8696B"/>
        <color rgb="FFFFEB84"/>
        <color rgb="FF63BE7B"/>
      </colorScale>
    </cfRule>
  </conditionalFormatting>
  <conditionalFormatting sqref="N6:N9">
    <cfRule type="colorScale" priority="56">
      <colorScale>
        <cfvo type="min"/>
        <cfvo type="percentile" val="50"/>
        <cfvo type="max"/>
        <color rgb="FFF8696B"/>
        <color rgb="FFFFEB84"/>
        <color rgb="FF63BE7B"/>
      </colorScale>
    </cfRule>
  </conditionalFormatting>
  <conditionalFormatting sqref="N13">
    <cfRule type="colorScale" priority="55">
      <colorScale>
        <cfvo type="min"/>
        <cfvo type="percentile" val="50"/>
        <cfvo type="max"/>
        <color rgb="FFF8696B"/>
        <color rgb="FFFFEB84"/>
        <color rgb="FF63BE7B"/>
      </colorScale>
    </cfRule>
  </conditionalFormatting>
  <conditionalFormatting sqref="N11:N13">
    <cfRule type="colorScale" priority="51">
      <colorScale>
        <cfvo type="min"/>
        <cfvo type="percentile" val="50"/>
        <cfvo type="max"/>
        <color rgb="FFF8696B"/>
        <color rgb="FFFFEB84"/>
        <color rgb="FF63BE7B"/>
      </colorScale>
    </cfRule>
  </conditionalFormatting>
  <conditionalFormatting sqref="N11">
    <cfRule type="colorScale" priority="54">
      <colorScale>
        <cfvo type="min"/>
        <cfvo type="percentile" val="50"/>
        <cfvo type="max"/>
        <color rgb="FFF8696B"/>
        <color rgb="FFFFEB84"/>
        <color rgb="FF63BE7B"/>
      </colorScale>
    </cfRule>
  </conditionalFormatting>
  <conditionalFormatting sqref="N12">
    <cfRule type="colorScale" priority="53">
      <colorScale>
        <cfvo type="min"/>
        <cfvo type="percentile" val="50"/>
        <cfvo type="max"/>
        <color rgb="FFF8696B"/>
        <color rgb="FFFFEB84"/>
        <color rgb="FF63BE7B"/>
      </colorScale>
    </cfRule>
  </conditionalFormatting>
  <conditionalFormatting sqref="N13">
    <cfRule type="colorScale" priority="52">
      <colorScale>
        <cfvo type="min"/>
        <cfvo type="percentile" val="50"/>
        <cfvo type="max"/>
        <color rgb="FFF8696B"/>
        <color rgb="FFFFEB84"/>
        <color rgb="FF63BE7B"/>
      </colorScale>
    </cfRule>
  </conditionalFormatting>
  <conditionalFormatting sqref="N10">
    <cfRule type="colorScale" priority="50">
      <colorScale>
        <cfvo type="min"/>
        <cfvo type="percentile" val="50"/>
        <cfvo type="max"/>
        <color rgb="FFF8696B"/>
        <color rgb="FFFFEB84"/>
        <color rgb="FF63BE7B"/>
      </colorScale>
    </cfRule>
  </conditionalFormatting>
  <conditionalFormatting sqref="N10">
    <cfRule type="colorScale" priority="49">
      <colorScale>
        <cfvo type="min"/>
        <cfvo type="percentile" val="50"/>
        <cfvo type="max"/>
        <color rgb="FFF8696B"/>
        <color rgb="FFFFEB84"/>
        <color rgb="FF63BE7B"/>
      </colorScale>
    </cfRule>
  </conditionalFormatting>
  <conditionalFormatting sqref="N10">
    <cfRule type="colorScale" priority="48">
      <colorScale>
        <cfvo type="min"/>
        <cfvo type="percentile" val="50"/>
        <cfvo type="max"/>
        <color rgb="FFF8696B"/>
        <color rgb="FFFFEB84"/>
        <color rgb="FF63BE7B"/>
      </colorScale>
    </cfRule>
  </conditionalFormatting>
  <conditionalFormatting sqref="N10:N13">
    <cfRule type="colorScale" priority="47">
      <colorScale>
        <cfvo type="min"/>
        <cfvo type="percentile" val="50"/>
        <cfvo type="max"/>
        <color rgb="FFF8696B"/>
        <color rgb="FFFFEB84"/>
        <color rgb="FF63BE7B"/>
      </colorScale>
    </cfRule>
  </conditionalFormatting>
  <conditionalFormatting sqref="N17">
    <cfRule type="colorScale" priority="46">
      <colorScale>
        <cfvo type="min"/>
        <cfvo type="percentile" val="50"/>
        <cfvo type="max"/>
        <color rgb="FFF8696B"/>
        <color rgb="FFFFEB84"/>
        <color rgb="FF63BE7B"/>
      </colorScale>
    </cfRule>
  </conditionalFormatting>
  <conditionalFormatting sqref="N15:N17">
    <cfRule type="colorScale" priority="42">
      <colorScale>
        <cfvo type="min"/>
        <cfvo type="percentile" val="50"/>
        <cfvo type="max"/>
        <color rgb="FFF8696B"/>
        <color rgb="FFFFEB84"/>
        <color rgb="FF63BE7B"/>
      </colorScale>
    </cfRule>
  </conditionalFormatting>
  <conditionalFormatting sqref="N15">
    <cfRule type="colorScale" priority="45">
      <colorScale>
        <cfvo type="min"/>
        <cfvo type="percentile" val="50"/>
        <cfvo type="max"/>
        <color rgb="FFF8696B"/>
        <color rgb="FFFFEB84"/>
        <color rgb="FF63BE7B"/>
      </colorScale>
    </cfRule>
  </conditionalFormatting>
  <conditionalFormatting sqref="N16">
    <cfRule type="colorScale" priority="44">
      <colorScale>
        <cfvo type="min"/>
        <cfvo type="percentile" val="50"/>
        <cfvo type="max"/>
        <color rgb="FFF8696B"/>
        <color rgb="FFFFEB84"/>
        <color rgb="FF63BE7B"/>
      </colorScale>
    </cfRule>
  </conditionalFormatting>
  <conditionalFormatting sqref="N17">
    <cfRule type="colorScale" priority="43">
      <colorScale>
        <cfvo type="min"/>
        <cfvo type="percentile" val="50"/>
        <cfvo type="max"/>
        <color rgb="FFF8696B"/>
        <color rgb="FFFFEB84"/>
        <color rgb="FF63BE7B"/>
      </colorScale>
    </cfRule>
  </conditionalFormatting>
  <conditionalFormatting sqref="N14">
    <cfRule type="colorScale" priority="41">
      <colorScale>
        <cfvo type="min"/>
        <cfvo type="percentile" val="50"/>
        <cfvo type="max"/>
        <color rgb="FFF8696B"/>
        <color rgb="FFFFEB84"/>
        <color rgb="FF63BE7B"/>
      </colorScale>
    </cfRule>
  </conditionalFormatting>
  <conditionalFormatting sqref="N14">
    <cfRule type="colorScale" priority="40">
      <colorScale>
        <cfvo type="min"/>
        <cfvo type="percentile" val="50"/>
        <cfvo type="max"/>
        <color rgb="FFF8696B"/>
        <color rgb="FFFFEB84"/>
        <color rgb="FF63BE7B"/>
      </colorScale>
    </cfRule>
  </conditionalFormatting>
  <conditionalFormatting sqref="N14">
    <cfRule type="colorScale" priority="39">
      <colorScale>
        <cfvo type="min"/>
        <cfvo type="percentile" val="50"/>
        <cfvo type="max"/>
        <color rgb="FFF8696B"/>
        <color rgb="FFFFEB84"/>
        <color rgb="FF63BE7B"/>
      </colorScale>
    </cfRule>
  </conditionalFormatting>
  <conditionalFormatting sqref="N14:N17">
    <cfRule type="colorScale" priority="38">
      <colorScale>
        <cfvo type="min"/>
        <cfvo type="percentile" val="50"/>
        <cfvo type="max"/>
        <color rgb="FFF8696B"/>
        <color rgb="FFFFEB84"/>
        <color rgb="FF63BE7B"/>
      </colorScale>
    </cfRule>
  </conditionalFormatting>
  <conditionalFormatting sqref="N21">
    <cfRule type="colorScale" priority="37">
      <colorScale>
        <cfvo type="min"/>
        <cfvo type="percentile" val="50"/>
        <cfvo type="max"/>
        <color rgb="FFF8696B"/>
        <color rgb="FFFFEB84"/>
        <color rgb="FF63BE7B"/>
      </colorScale>
    </cfRule>
  </conditionalFormatting>
  <conditionalFormatting sqref="N19:N21">
    <cfRule type="colorScale" priority="33">
      <colorScale>
        <cfvo type="min"/>
        <cfvo type="percentile" val="50"/>
        <cfvo type="max"/>
        <color rgb="FFF8696B"/>
        <color rgb="FFFFEB84"/>
        <color rgb="FF63BE7B"/>
      </colorScale>
    </cfRule>
  </conditionalFormatting>
  <conditionalFormatting sqref="N19">
    <cfRule type="colorScale" priority="36">
      <colorScale>
        <cfvo type="min"/>
        <cfvo type="percentile" val="50"/>
        <cfvo type="max"/>
        <color rgb="FFF8696B"/>
        <color rgb="FFFFEB84"/>
        <color rgb="FF63BE7B"/>
      </colorScale>
    </cfRule>
  </conditionalFormatting>
  <conditionalFormatting sqref="N20">
    <cfRule type="colorScale" priority="35">
      <colorScale>
        <cfvo type="min"/>
        <cfvo type="percentile" val="50"/>
        <cfvo type="max"/>
        <color rgb="FFF8696B"/>
        <color rgb="FFFFEB84"/>
        <color rgb="FF63BE7B"/>
      </colorScale>
    </cfRule>
  </conditionalFormatting>
  <conditionalFormatting sqref="N21">
    <cfRule type="colorScale" priority="34">
      <colorScale>
        <cfvo type="min"/>
        <cfvo type="percentile" val="50"/>
        <cfvo type="max"/>
        <color rgb="FFF8696B"/>
        <color rgb="FFFFEB84"/>
        <color rgb="FF63BE7B"/>
      </colorScale>
    </cfRule>
  </conditionalFormatting>
  <conditionalFormatting sqref="N18">
    <cfRule type="colorScale" priority="32">
      <colorScale>
        <cfvo type="min"/>
        <cfvo type="percentile" val="50"/>
        <cfvo type="max"/>
        <color rgb="FFF8696B"/>
        <color rgb="FFFFEB84"/>
        <color rgb="FF63BE7B"/>
      </colorScale>
    </cfRule>
  </conditionalFormatting>
  <conditionalFormatting sqref="N18">
    <cfRule type="colorScale" priority="31">
      <colorScale>
        <cfvo type="min"/>
        <cfvo type="percentile" val="50"/>
        <cfvo type="max"/>
        <color rgb="FFF8696B"/>
        <color rgb="FFFFEB84"/>
        <color rgb="FF63BE7B"/>
      </colorScale>
    </cfRule>
  </conditionalFormatting>
  <conditionalFormatting sqref="N18">
    <cfRule type="colorScale" priority="30">
      <colorScale>
        <cfvo type="min"/>
        <cfvo type="percentile" val="50"/>
        <cfvo type="max"/>
        <color rgb="FFF8696B"/>
        <color rgb="FFFFEB84"/>
        <color rgb="FF63BE7B"/>
      </colorScale>
    </cfRule>
  </conditionalFormatting>
  <conditionalFormatting sqref="N18:N21">
    <cfRule type="colorScale" priority="29">
      <colorScale>
        <cfvo type="min"/>
        <cfvo type="percentile" val="50"/>
        <cfvo type="max"/>
        <color rgb="FFF8696B"/>
        <color rgb="FFFFEB84"/>
        <color rgb="FF63BE7B"/>
      </colorScale>
    </cfRule>
  </conditionalFormatting>
  <conditionalFormatting sqref="N25">
    <cfRule type="colorScale" priority="28">
      <colorScale>
        <cfvo type="min"/>
        <cfvo type="percentile" val="50"/>
        <cfvo type="max"/>
        <color rgb="FFF8696B"/>
        <color rgb="FFFFEB84"/>
        <color rgb="FF63BE7B"/>
      </colorScale>
    </cfRule>
  </conditionalFormatting>
  <conditionalFormatting sqref="N23:N25">
    <cfRule type="colorScale" priority="24">
      <colorScale>
        <cfvo type="min"/>
        <cfvo type="percentile" val="50"/>
        <cfvo type="max"/>
        <color rgb="FFF8696B"/>
        <color rgb="FFFFEB84"/>
        <color rgb="FF63BE7B"/>
      </colorScale>
    </cfRule>
  </conditionalFormatting>
  <conditionalFormatting sqref="N23">
    <cfRule type="colorScale" priority="27">
      <colorScale>
        <cfvo type="min"/>
        <cfvo type="percentile" val="50"/>
        <cfvo type="max"/>
        <color rgb="FFF8696B"/>
        <color rgb="FFFFEB84"/>
        <color rgb="FF63BE7B"/>
      </colorScale>
    </cfRule>
  </conditionalFormatting>
  <conditionalFormatting sqref="N24">
    <cfRule type="colorScale" priority="26">
      <colorScale>
        <cfvo type="min"/>
        <cfvo type="percentile" val="50"/>
        <cfvo type="max"/>
        <color rgb="FFF8696B"/>
        <color rgb="FFFFEB84"/>
        <color rgb="FF63BE7B"/>
      </colorScale>
    </cfRule>
  </conditionalFormatting>
  <conditionalFormatting sqref="N25">
    <cfRule type="colorScale" priority="25">
      <colorScale>
        <cfvo type="min"/>
        <cfvo type="percentile" val="50"/>
        <cfvo type="max"/>
        <color rgb="FFF8696B"/>
        <color rgb="FFFFEB84"/>
        <color rgb="FF63BE7B"/>
      </colorScale>
    </cfRule>
  </conditionalFormatting>
  <conditionalFormatting sqref="N22">
    <cfRule type="colorScale" priority="23">
      <colorScale>
        <cfvo type="min"/>
        <cfvo type="percentile" val="50"/>
        <cfvo type="max"/>
        <color rgb="FFF8696B"/>
        <color rgb="FFFFEB84"/>
        <color rgb="FF63BE7B"/>
      </colorScale>
    </cfRule>
  </conditionalFormatting>
  <conditionalFormatting sqref="N22">
    <cfRule type="colorScale" priority="22">
      <colorScale>
        <cfvo type="min"/>
        <cfvo type="percentile" val="50"/>
        <cfvo type="max"/>
        <color rgb="FFF8696B"/>
        <color rgb="FFFFEB84"/>
        <color rgb="FF63BE7B"/>
      </colorScale>
    </cfRule>
  </conditionalFormatting>
  <conditionalFormatting sqref="N22">
    <cfRule type="colorScale" priority="21">
      <colorScale>
        <cfvo type="min"/>
        <cfvo type="percentile" val="50"/>
        <cfvo type="max"/>
        <color rgb="FFF8696B"/>
        <color rgb="FFFFEB84"/>
        <color rgb="FF63BE7B"/>
      </colorScale>
    </cfRule>
  </conditionalFormatting>
  <conditionalFormatting sqref="N22:N25">
    <cfRule type="colorScale" priority="20">
      <colorScale>
        <cfvo type="min"/>
        <cfvo type="percentile" val="50"/>
        <cfvo type="max"/>
        <color rgb="FFF8696B"/>
        <color rgb="FFFFEB84"/>
        <color rgb="FF63BE7B"/>
      </colorScale>
    </cfRule>
  </conditionalFormatting>
  <conditionalFormatting sqref="N29">
    <cfRule type="colorScale" priority="19">
      <colorScale>
        <cfvo type="min"/>
        <cfvo type="percentile" val="50"/>
        <cfvo type="max"/>
        <color rgb="FFF8696B"/>
        <color rgb="FFFFEB84"/>
        <color rgb="FF63BE7B"/>
      </colorScale>
    </cfRule>
  </conditionalFormatting>
  <conditionalFormatting sqref="N27:N29">
    <cfRule type="colorScale" priority="15">
      <colorScale>
        <cfvo type="min"/>
        <cfvo type="percentile" val="50"/>
        <cfvo type="max"/>
        <color rgb="FFF8696B"/>
        <color rgb="FFFFEB84"/>
        <color rgb="FF63BE7B"/>
      </colorScale>
    </cfRule>
  </conditionalFormatting>
  <conditionalFormatting sqref="N27">
    <cfRule type="colorScale" priority="18">
      <colorScale>
        <cfvo type="min"/>
        <cfvo type="percentile" val="50"/>
        <cfvo type="max"/>
        <color rgb="FFF8696B"/>
        <color rgb="FFFFEB84"/>
        <color rgb="FF63BE7B"/>
      </colorScale>
    </cfRule>
  </conditionalFormatting>
  <conditionalFormatting sqref="N28">
    <cfRule type="colorScale" priority="17">
      <colorScale>
        <cfvo type="min"/>
        <cfvo type="percentile" val="50"/>
        <cfvo type="max"/>
        <color rgb="FFF8696B"/>
        <color rgb="FFFFEB84"/>
        <color rgb="FF63BE7B"/>
      </colorScale>
    </cfRule>
  </conditionalFormatting>
  <conditionalFormatting sqref="N29">
    <cfRule type="colorScale" priority="16">
      <colorScale>
        <cfvo type="min"/>
        <cfvo type="percentile" val="50"/>
        <cfvo type="max"/>
        <color rgb="FFF8696B"/>
        <color rgb="FFFFEB84"/>
        <color rgb="FF63BE7B"/>
      </colorScale>
    </cfRule>
  </conditionalFormatting>
  <conditionalFormatting sqref="N26">
    <cfRule type="colorScale" priority="14">
      <colorScale>
        <cfvo type="min"/>
        <cfvo type="percentile" val="50"/>
        <cfvo type="max"/>
        <color rgb="FFF8696B"/>
        <color rgb="FFFFEB84"/>
        <color rgb="FF63BE7B"/>
      </colorScale>
    </cfRule>
  </conditionalFormatting>
  <conditionalFormatting sqref="N26">
    <cfRule type="colorScale" priority="13">
      <colorScale>
        <cfvo type="min"/>
        <cfvo type="percentile" val="50"/>
        <cfvo type="max"/>
        <color rgb="FFF8696B"/>
        <color rgb="FFFFEB84"/>
        <color rgb="FF63BE7B"/>
      </colorScale>
    </cfRule>
  </conditionalFormatting>
  <conditionalFormatting sqref="N26">
    <cfRule type="colorScale" priority="12">
      <colorScale>
        <cfvo type="min"/>
        <cfvo type="percentile" val="50"/>
        <cfvo type="max"/>
        <color rgb="FFF8696B"/>
        <color rgb="FFFFEB84"/>
        <color rgb="FF63BE7B"/>
      </colorScale>
    </cfRule>
  </conditionalFormatting>
  <conditionalFormatting sqref="N26:N29">
    <cfRule type="colorScale" priority="11">
      <colorScale>
        <cfvo type="min"/>
        <cfvo type="percentile" val="50"/>
        <cfvo type="max"/>
        <color rgb="FFF8696B"/>
        <color rgb="FFFFEB84"/>
        <color rgb="FF63BE7B"/>
      </colorScale>
    </cfRule>
  </conditionalFormatting>
  <conditionalFormatting sqref="N33">
    <cfRule type="colorScale" priority="10">
      <colorScale>
        <cfvo type="min"/>
        <cfvo type="percentile" val="50"/>
        <cfvo type="max"/>
        <color rgb="FFF8696B"/>
        <color rgb="FFFFEB84"/>
        <color rgb="FF63BE7B"/>
      </colorScale>
    </cfRule>
  </conditionalFormatting>
  <conditionalFormatting sqref="N31:N33">
    <cfRule type="colorScale" priority="6">
      <colorScale>
        <cfvo type="min"/>
        <cfvo type="percentile" val="50"/>
        <cfvo type="max"/>
        <color rgb="FFF8696B"/>
        <color rgb="FFFFEB84"/>
        <color rgb="FF63BE7B"/>
      </colorScale>
    </cfRule>
  </conditionalFormatting>
  <conditionalFormatting sqref="N31">
    <cfRule type="colorScale" priority="9">
      <colorScale>
        <cfvo type="min"/>
        <cfvo type="percentile" val="50"/>
        <cfvo type="max"/>
        <color rgb="FFF8696B"/>
        <color rgb="FFFFEB84"/>
        <color rgb="FF63BE7B"/>
      </colorScale>
    </cfRule>
  </conditionalFormatting>
  <conditionalFormatting sqref="N32">
    <cfRule type="colorScale" priority="8">
      <colorScale>
        <cfvo type="min"/>
        <cfvo type="percentile" val="50"/>
        <cfvo type="max"/>
        <color rgb="FFF8696B"/>
        <color rgb="FFFFEB84"/>
        <color rgb="FF63BE7B"/>
      </colorScale>
    </cfRule>
  </conditionalFormatting>
  <conditionalFormatting sqref="N33">
    <cfRule type="colorScale" priority="7">
      <colorScale>
        <cfvo type="min"/>
        <cfvo type="percentile" val="50"/>
        <cfvo type="max"/>
        <color rgb="FFF8696B"/>
        <color rgb="FFFFEB84"/>
        <color rgb="FF63BE7B"/>
      </colorScale>
    </cfRule>
  </conditionalFormatting>
  <conditionalFormatting sqref="N30">
    <cfRule type="colorScale" priority="5">
      <colorScale>
        <cfvo type="min"/>
        <cfvo type="percentile" val="50"/>
        <cfvo type="max"/>
        <color rgb="FFF8696B"/>
        <color rgb="FFFFEB84"/>
        <color rgb="FF63BE7B"/>
      </colorScale>
    </cfRule>
  </conditionalFormatting>
  <conditionalFormatting sqref="N30">
    <cfRule type="colorScale" priority="4">
      <colorScale>
        <cfvo type="min"/>
        <cfvo type="percentile" val="50"/>
        <cfvo type="max"/>
        <color rgb="FFF8696B"/>
        <color rgb="FFFFEB84"/>
        <color rgb="FF63BE7B"/>
      </colorScale>
    </cfRule>
  </conditionalFormatting>
  <conditionalFormatting sqref="N30">
    <cfRule type="colorScale" priority="3">
      <colorScale>
        <cfvo type="min"/>
        <cfvo type="percentile" val="50"/>
        <cfvo type="max"/>
        <color rgb="FFF8696B"/>
        <color rgb="FFFFEB84"/>
        <color rgb="FF63BE7B"/>
      </colorScale>
    </cfRule>
  </conditionalFormatting>
  <conditionalFormatting sqref="N30:N33">
    <cfRule type="colorScale" priority="2">
      <colorScale>
        <cfvo type="min"/>
        <cfvo type="percentile" val="50"/>
        <cfvo type="max"/>
        <color rgb="FFF8696B"/>
        <color rgb="FFFFEB84"/>
        <color rgb="FF63BE7B"/>
      </colorScale>
    </cfRule>
  </conditionalFormatting>
  <conditionalFormatting sqref="N6:N3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DDF87-F8FE-4A4F-87C3-EECE3D4A2F38}">
  <dimension ref="A1:X33"/>
  <sheetViews>
    <sheetView workbookViewId="0">
      <pane ySplit="1" topLeftCell="A2" activePane="bottomLeft" state="frozen"/>
      <selection pane="bottomLeft" activeCell="L1" sqref="L1"/>
    </sheetView>
  </sheetViews>
  <sheetFormatPr defaultRowHeight="14.4" x14ac:dyDescent="0.3"/>
  <cols>
    <col min="2" max="2" width="15.88671875" style="3" customWidth="1"/>
    <col min="3" max="3" width="8.44140625" style="1" customWidth="1"/>
    <col min="4" max="4" width="19.44140625" customWidth="1"/>
    <col min="5" max="5" width="20.109375" customWidth="1"/>
    <col min="6" max="6" width="23.88671875" customWidth="1"/>
    <col min="7" max="8" width="20.109375" customWidth="1"/>
    <col min="9" max="10" width="12.33203125" customWidth="1"/>
    <col min="11" max="11" width="19.6640625" customWidth="1"/>
    <col min="13" max="13" width="9.44140625" customWidth="1"/>
    <col min="14" max="14" width="13.88671875" customWidth="1"/>
    <col min="16" max="16" width="11.6640625" customWidth="1"/>
    <col min="18" max="18" width="12.77734375" customWidth="1"/>
    <col min="20" max="20" width="10.44140625" customWidth="1"/>
    <col min="22" max="22" width="12.21875" customWidth="1"/>
    <col min="24" max="24" width="12.5546875" customWidth="1"/>
  </cols>
  <sheetData>
    <row r="1" spans="1:24" ht="43.2" x14ac:dyDescent="0.3">
      <c r="A1" s="4" t="s">
        <v>6</v>
      </c>
      <c r="B1" s="12" t="s">
        <v>7</v>
      </c>
      <c r="C1" s="5" t="s">
        <v>8</v>
      </c>
      <c r="D1" s="5" t="s">
        <v>141</v>
      </c>
      <c r="E1" s="2" t="s">
        <v>131</v>
      </c>
      <c r="F1" s="2" t="s">
        <v>132</v>
      </c>
      <c r="G1" s="2" t="s">
        <v>133</v>
      </c>
      <c r="H1" s="2" t="s">
        <v>134</v>
      </c>
      <c r="I1" s="262" t="s">
        <v>125</v>
      </c>
      <c r="J1" s="263"/>
      <c r="K1" s="2" t="s">
        <v>135</v>
      </c>
      <c r="M1" s="12" t="s">
        <v>6</v>
      </c>
      <c r="N1" s="4" t="s">
        <v>7</v>
      </c>
      <c r="O1" s="264" t="s">
        <v>136</v>
      </c>
      <c r="P1" s="265"/>
      <c r="Q1" s="264" t="s">
        <v>137</v>
      </c>
      <c r="R1" s="265"/>
      <c r="S1" s="264" t="s">
        <v>138</v>
      </c>
      <c r="T1" s="265"/>
      <c r="U1" s="264" t="s">
        <v>139</v>
      </c>
      <c r="V1" s="265"/>
      <c r="W1" s="262" t="s">
        <v>140</v>
      </c>
      <c r="X1" s="263"/>
    </row>
    <row r="2" spans="1:24" x14ac:dyDescent="0.3">
      <c r="A2" s="174" t="s">
        <v>16</v>
      </c>
      <c r="B2" s="182" t="s">
        <v>144</v>
      </c>
      <c r="C2" s="177">
        <v>37</v>
      </c>
      <c r="D2" s="176" t="s">
        <v>148</v>
      </c>
      <c r="E2" s="177">
        <v>1178</v>
      </c>
      <c r="F2" s="177">
        <v>815</v>
      </c>
      <c r="G2" s="177">
        <v>363</v>
      </c>
      <c r="H2" s="177">
        <v>78</v>
      </c>
      <c r="I2" s="177">
        <v>285</v>
      </c>
      <c r="J2" s="167">
        <v>0.24193548387096775</v>
      </c>
      <c r="K2" s="8" t="s">
        <v>13</v>
      </c>
      <c r="M2" s="174" t="s">
        <v>16</v>
      </c>
      <c r="N2" s="26" t="s">
        <v>144</v>
      </c>
      <c r="O2" s="8">
        <v>93</v>
      </c>
      <c r="P2" s="10">
        <v>8.5714285714285715E-2</v>
      </c>
      <c r="Q2" s="8">
        <v>55</v>
      </c>
      <c r="R2" s="10">
        <v>5.0691244239631339E-2</v>
      </c>
      <c r="S2" s="8">
        <v>38</v>
      </c>
      <c r="T2" s="10">
        <v>3.5023041474654376E-2</v>
      </c>
      <c r="U2" s="8">
        <v>-13</v>
      </c>
      <c r="V2" s="10">
        <v>-1.1981566820276499E-2</v>
      </c>
      <c r="W2" s="8">
        <v>51</v>
      </c>
      <c r="X2" s="167">
        <v>4.7004608294930875E-2</v>
      </c>
    </row>
    <row r="3" spans="1:24" x14ac:dyDescent="0.3">
      <c r="A3" s="174" t="s">
        <v>16</v>
      </c>
      <c r="B3" s="182" t="s">
        <v>145</v>
      </c>
      <c r="C3" s="177">
        <v>40</v>
      </c>
      <c r="D3" s="176" t="s">
        <v>148</v>
      </c>
      <c r="E3" s="177">
        <v>467</v>
      </c>
      <c r="F3" s="177">
        <v>428</v>
      </c>
      <c r="G3" s="177">
        <v>39</v>
      </c>
      <c r="H3" s="177">
        <v>227</v>
      </c>
      <c r="I3" s="177">
        <v>-188</v>
      </c>
      <c r="J3" s="167">
        <v>-0.40256959314775159</v>
      </c>
      <c r="K3" s="8" t="s">
        <v>11</v>
      </c>
      <c r="M3" s="174" t="s">
        <v>16</v>
      </c>
      <c r="N3" s="26" t="s">
        <v>145</v>
      </c>
      <c r="O3" s="8">
        <v>-41</v>
      </c>
      <c r="P3" s="10">
        <v>-8.070866141732283E-2</v>
      </c>
      <c r="Q3" s="8">
        <v>-15</v>
      </c>
      <c r="R3" s="10">
        <v>-2.952755905511811E-2</v>
      </c>
      <c r="S3" s="8">
        <v>-26</v>
      </c>
      <c r="T3" s="10">
        <v>-5.1181102362204724E-2</v>
      </c>
      <c r="U3" s="8">
        <v>37</v>
      </c>
      <c r="V3" s="10">
        <v>7.2834645669291334E-2</v>
      </c>
      <c r="W3" s="8">
        <v>-63</v>
      </c>
      <c r="X3" s="167">
        <v>-0.12401574803149606</v>
      </c>
    </row>
    <row r="4" spans="1:24" x14ac:dyDescent="0.3">
      <c r="A4" s="174" t="s">
        <v>16</v>
      </c>
      <c r="B4" s="182" t="s">
        <v>146</v>
      </c>
      <c r="C4" s="177">
        <v>42</v>
      </c>
      <c r="D4" s="176" t="s">
        <v>148</v>
      </c>
      <c r="E4" s="177">
        <v>444</v>
      </c>
      <c r="F4" s="177">
        <v>278</v>
      </c>
      <c r="G4" s="177">
        <v>166</v>
      </c>
      <c r="H4" s="177">
        <v>173</v>
      </c>
      <c r="I4" s="177">
        <v>-7</v>
      </c>
      <c r="J4" s="167">
        <v>-1.5765765765765764E-2</v>
      </c>
      <c r="K4" s="8" t="s">
        <v>12</v>
      </c>
      <c r="M4" s="174" t="s">
        <v>16</v>
      </c>
      <c r="N4" s="26" t="s">
        <v>146</v>
      </c>
      <c r="O4" s="8">
        <v>59</v>
      </c>
      <c r="P4" s="10">
        <v>0.15324675324675324</v>
      </c>
      <c r="Q4" s="8">
        <v>38</v>
      </c>
      <c r="R4" s="10">
        <v>9.8701298701298706E-2</v>
      </c>
      <c r="S4" s="8">
        <v>21</v>
      </c>
      <c r="T4" s="10">
        <v>5.4545454545454543E-2</v>
      </c>
      <c r="U4" s="8">
        <v>30</v>
      </c>
      <c r="V4" s="10">
        <v>7.792207792207792E-2</v>
      </c>
      <c r="W4" s="8">
        <v>-9</v>
      </c>
      <c r="X4" s="167">
        <v>-2.3376623376623377E-2</v>
      </c>
    </row>
    <row r="5" spans="1:24" x14ac:dyDescent="0.3">
      <c r="A5" s="174" t="s">
        <v>16</v>
      </c>
      <c r="B5" s="182" t="s">
        <v>147</v>
      </c>
      <c r="C5" s="177">
        <v>43</v>
      </c>
      <c r="D5" s="176" t="s">
        <v>148</v>
      </c>
      <c r="E5" s="177">
        <v>461</v>
      </c>
      <c r="F5" s="177">
        <v>356</v>
      </c>
      <c r="G5" s="177">
        <v>105</v>
      </c>
      <c r="H5" s="177">
        <v>72</v>
      </c>
      <c r="I5" s="177">
        <v>33</v>
      </c>
      <c r="J5" s="167">
        <v>7.1583514099783085E-2</v>
      </c>
      <c r="K5" s="8" t="s">
        <v>12</v>
      </c>
      <c r="M5" s="174" t="s">
        <v>16</v>
      </c>
      <c r="N5" s="26" t="s">
        <v>147</v>
      </c>
      <c r="O5" s="8">
        <v>50</v>
      </c>
      <c r="P5" s="10">
        <v>0.12165450121654502</v>
      </c>
      <c r="Q5" s="8">
        <v>40</v>
      </c>
      <c r="R5" s="10">
        <v>9.7323600973236016E-2</v>
      </c>
      <c r="S5" s="8">
        <v>10</v>
      </c>
      <c r="T5" s="10">
        <v>2.4330900243309004E-2</v>
      </c>
      <c r="U5" s="8">
        <v>2</v>
      </c>
      <c r="V5" s="10">
        <v>4.8661800486618006E-3</v>
      </c>
      <c r="W5" s="8">
        <v>8</v>
      </c>
      <c r="X5" s="167">
        <v>1.9464720194647202E-2</v>
      </c>
    </row>
    <row r="6" spans="1:24" x14ac:dyDescent="0.3">
      <c r="A6" s="28" t="s">
        <v>30</v>
      </c>
      <c r="B6" s="182" t="s">
        <v>144</v>
      </c>
      <c r="C6" s="177">
        <v>37</v>
      </c>
      <c r="D6" s="176" t="s">
        <v>148</v>
      </c>
      <c r="E6" s="177">
        <v>177</v>
      </c>
      <c r="F6" s="177">
        <v>128</v>
      </c>
      <c r="G6" s="177">
        <v>49</v>
      </c>
      <c r="H6" s="177">
        <v>19</v>
      </c>
      <c r="I6" s="177">
        <v>30</v>
      </c>
      <c r="J6" s="167">
        <v>0.16949152542372881</v>
      </c>
      <c r="K6" s="8" t="s">
        <v>12</v>
      </c>
      <c r="M6" s="28" t="s">
        <v>30</v>
      </c>
      <c r="N6" s="26" t="s">
        <v>144</v>
      </c>
      <c r="O6" s="8">
        <v>36</v>
      </c>
      <c r="P6" s="10">
        <v>0.25531914893617019</v>
      </c>
      <c r="Q6" s="8">
        <v>28</v>
      </c>
      <c r="R6" s="10">
        <v>0.19858156028368795</v>
      </c>
      <c r="S6" s="8">
        <v>8</v>
      </c>
      <c r="T6" s="10">
        <v>5.6737588652482268E-2</v>
      </c>
      <c r="U6" s="8">
        <v>-1</v>
      </c>
      <c r="V6" s="10">
        <v>-7.0921985815602835E-3</v>
      </c>
      <c r="W6" s="8">
        <v>9</v>
      </c>
      <c r="X6" s="167">
        <v>6.3829787234042548E-2</v>
      </c>
    </row>
    <row r="7" spans="1:24" x14ac:dyDescent="0.3">
      <c r="A7" s="28" t="s">
        <v>30</v>
      </c>
      <c r="B7" s="182" t="s">
        <v>145</v>
      </c>
      <c r="C7" s="177">
        <v>40</v>
      </c>
      <c r="D7" s="176" t="s">
        <v>148</v>
      </c>
      <c r="E7" s="177">
        <v>129</v>
      </c>
      <c r="F7" s="177">
        <v>117</v>
      </c>
      <c r="G7" s="177">
        <v>12</v>
      </c>
      <c r="H7" s="177">
        <v>41</v>
      </c>
      <c r="I7" s="177">
        <v>-29</v>
      </c>
      <c r="J7" s="167">
        <v>-0.22480620155038761</v>
      </c>
      <c r="K7" s="8" t="s">
        <v>11</v>
      </c>
      <c r="M7" s="28" t="s">
        <v>30</v>
      </c>
      <c r="N7" s="26" t="s">
        <v>145</v>
      </c>
      <c r="O7" s="8">
        <v>7</v>
      </c>
      <c r="P7" s="10">
        <v>5.737704918032787E-2</v>
      </c>
      <c r="Q7" s="8">
        <v>9</v>
      </c>
      <c r="R7" s="10">
        <v>7.3770491803278687E-2</v>
      </c>
      <c r="S7" s="8">
        <v>-2</v>
      </c>
      <c r="T7" s="10">
        <v>-1.6393442622950821E-2</v>
      </c>
      <c r="U7" s="8">
        <v>3</v>
      </c>
      <c r="V7" s="10">
        <v>2.4590163934426229E-2</v>
      </c>
      <c r="W7" s="8">
        <v>-5</v>
      </c>
      <c r="X7" s="167">
        <v>-4.0983606557377046E-2</v>
      </c>
    </row>
    <row r="8" spans="1:24" x14ac:dyDescent="0.3">
      <c r="A8" s="28" t="s">
        <v>30</v>
      </c>
      <c r="B8" s="182" t="s">
        <v>146</v>
      </c>
      <c r="C8" s="177">
        <v>42</v>
      </c>
      <c r="D8" s="176" t="s">
        <v>148</v>
      </c>
      <c r="E8" s="177">
        <v>96</v>
      </c>
      <c r="F8" s="177">
        <v>63</v>
      </c>
      <c r="G8" s="177">
        <v>33</v>
      </c>
      <c r="H8" s="177">
        <v>28</v>
      </c>
      <c r="I8" s="177">
        <v>5</v>
      </c>
      <c r="J8" s="167">
        <v>5.2083333333333336E-2</v>
      </c>
      <c r="K8" s="8" t="s">
        <v>12</v>
      </c>
      <c r="M8" s="28" t="s">
        <v>30</v>
      </c>
      <c r="N8" s="26" t="s">
        <v>146</v>
      </c>
      <c r="O8" s="8">
        <v>3</v>
      </c>
      <c r="P8" s="10">
        <v>3.2258064516129031E-2</v>
      </c>
      <c r="Q8" s="8">
        <v>5</v>
      </c>
      <c r="R8" s="10">
        <v>5.3763440860215055E-2</v>
      </c>
      <c r="S8" s="8">
        <v>-2</v>
      </c>
      <c r="T8" s="10">
        <v>-2.1505376344086023E-2</v>
      </c>
      <c r="U8" s="8">
        <v>7</v>
      </c>
      <c r="V8" s="10">
        <v>7.5268817204301078E-2</v>
      </c>
      <c r="W8" s="8">
        <v>-9</v>
      </c>
      <c r="X8" s="167">
        <v>-9.6774193548387094E-2</v>
      </c>
    </row>
    <row r="9" spans="1:24" x14ac:dyDescent="0.3">
      <c r="A9" s="28" t="s">
        <v>30</v>
      </c>
      <c r="B9" s="182" t="s">
        <v>147</v>
      </c>
      <c r="C9" s="177">
        <v>43</v>
      </c>
      <c r="D9" s="176" t="s">
        <v>148</v>
      </c>
      <c r="E9" s="177">
        <v>104</v>
      </c>
      <c r="F9" s="177">
        <v>70</v>
      </c>
      <c r="G9" s="177">
        <v>34</v>
      </c>
      <c r="H9" s="177">
        <v>3</v>
      </c>
      <c r="I9" s="177">
        <v>31</v>
      </c>
      <c r="J9" s="167">
        <v>0.29807692307692307</v>
      </c>
      <c r="K9" s="8" t="s">
        <v>13</v>
      </c>
      <c r="M9" s="28" t="s">
        <v>30</v>
      </c>
      <c r="N9" s="26" t="s">
        <v>147</v>
      </c>
      <c r="O9" s="8">
        <v>22</v>
      </c>
      <c r="P9" s="10">
        <v>0.26829268292682928</v>
      </c>
      <c r="Q9" s="8">
        <v>22</v>
      </c>
      <c r="R9" s="10">
        <v>0.26829268292682928</v>
      </c>
      <c r="S9" s="8">
        <v>0</v>
      </c>
      <c r="T9" s="10">
        <v>0</v>
      </c>
      <c r="U9" s="8">
        <v>-1</v>
      </c>
      <c r="V9" s="10">
        <v>-1.2195121951219513E-2</v>
      </c>
      <c r="W9" s="8">
        <v>1</v>
      </c>
      <c r="X9" s="167">
        <v>1.2195121951219513E-2</v>
      </c>
    </row>
    <row r="10" spans="1:24" x14ac:dyDescent="0.3">
      <c r="A10" s="24" t="s">
        <v>31</v>
      </c>
      <c r="B10" s="182" t="s">
        <v>144</v>
      </c>
      <c r="C10" s="177">
        <v>37</v>
      </c>
      <c r="D10" s="176" t="s">
        <v>148</v>
      </c>
      <c r="E10" s="177">
        <v>274</v>
      </c>
      <c r="F10" s="177">
        <v>191</v>
      </c>
      <c r="G10" s="177">
        <v>83</v>
      </c>
      <c r="H10" s="177">
        <v>15</v>
      </c>
      <c r="I10" s="177">
        <v>68</v>
      </c>
      <c r="J10" s="167">
        <v>0.24817518248175183</v>
      </c>
      <c r="K10" s="8" t="s">
        <v>13</v>
      </c>
      <c r="M10" s="24" t="s">
        <v>31</v>
      </c>
      <c r="N10" s="26" t="s">
        <v>144</v>
      </c>
      <c r="O10" s="8">
        <v>77</v>
      </c>
      <c r="P10" s="10">
        <v>0.39086294416243655</v>
      </c>
      <c r="Q10" s="8">
        <v>51</v>
      </c>
      <c r="R10" s="10">
        <v>0.25888324873096447</v>
      </c>
      <c r="S10" s="8">
        <v>26</v>
      </c>
      <c r="T10" s="10">
        <v>0.13197969543147209</v>
      </c>
      <c r="U10" s="8">
        <v>-2</v>
      </c>
      <c r="V10" s="10">
        <v>-1.015228426395939E-2</v>
      </c>
      <c r="W10" s="8">
        <v>28</v>
      </c>
      <c r="X10" s="167">
        <v>0.14213197969543148</v>
      </c>
    </row>
    <row r="11" spans="1:24" x14ac:dyDescent="0.3">
      <c r="A11" s="24" t="s">
        <v>31</v>
      </c>
      <c r="B11" s="182" t="s">
        <v>145</v>
      </c>
      <c r="C11" s="177">
        <v>40</v>
      </c>
      <c r="D11" s="176" t="s">
        <v>148</v>
      </c>
      <c r="E11" s="177">
        <v>114</v>
      </c>
      <c r="F11" s="177">
        <v>110</v>
      </c>
      <c r="G11" s="177">
        <v>4</v>
      </c>
      <c r="H11" s="177">
        <v>58</v>
      </c>
      <c r="I11" s="177">
        <v>-54</v>
      </c>
      <c r="J11" s="167">
        <v>-0.47368421052631576</v>
      </c>
      <c r="K11" s="8" t="s">
        <v>11</v>
      </c>
      <c r="M11" s="24" t="s">
        <v>31</v>
      </c>
      <c r="N11" s="26" t="s">
        <v>145</v>
      </c>
      <c r="O11" s="8">
        <v>6</v>
      </c>
      <c r="P11" s="10">
        <v>5.5555555555555552E-2</v>
      </c>
      <c r="Q11" s="8">
        <v>13</v>
      </c>
      <c r="R11" s="10">
        <v>0.12037037037037036</v>
      </c>
      <c r="S11" s="8">
        <v>-7</v>
      </c>
      <c r="T11" s="10">
        <v>-6.4814814814814811E-2</v>
      </c>
      <c r="U11" s="8">
        <v>16</v>
      </c>
      <c r="V11" s="10">
        <v>0.14814814814814814</v>
      </c>
      <c r="W11" s="8">
        <v>-23</v>
      </c>
      <c r="X11" s="167">
        <v>-0.21296296296296297</v>
      </c>
    </row>
    <row r="12" spans="1:24" x14ac:dyDescent="0.3">
      <c r="A12" s="24" t="s">
        <v>31</v>
      </c>
      <c r="B12" s="182" t="s">
        <v>146</v>
      </c>
      <c r="C12" s="177">
        <v>42</v>
      </c>
      <c r="D12" s="176" t="s">
        <v>148</v>
      </c>
      <c r="E12" s="177">
        <v>171</v>
      </c>
      <c r="F12" s="177">
        <v>112</v>
      </c>
      <c r="G12" s="177">
        <v>59</v>
      </c>
      <c r="H12" s="177">
        <v>51</v>
      </c>
      <c r="I12" s="177">
        <v>8</v>
      </c>
      <c r="J12" s="167">
        <v>4.6783625730994149E-2</v>
      </c>
      <c r="K12" s="8" t="s">
        <v>12</v>
      </c>
      <c r="M12" s="24" t="s">
        <v>31</v>
      </c>
      <c r="N12" s="26" t="s">
        <v>146</v>
      </c>
      <c r="O12" s="8">
        <v>37</v>
      </c>
      <c r="P12" s="10">
        <v>0.27611940298507465</v>
      </c>
      <c r="Q12" s="8">
        <v>27</v>
      </c>
      <c r="R12" s="10">
        <v>0.20149253731343283</v>
      </c>
      <c r="S12" s="8">
        <v>10</v>
      </c>
      <c r="T12" s="10">
        <v>7.4626865671641784E-2</v>
      </c>
      <c r="U12" s="8">
        <v>11</v>
      </c>
      <c r="V12" s="10">
        <v>8.2089552238805971E-2</v>
      </c>
      <c r="W12" s="8">
        <v>-1</v>
      </c>
      <c r="X12" s="167">
        <v>-7.462686567164179E-3</v>
      </c>
    </row>
    <row r="13" spans="1:24" x14ac:dyDescent="0.3">
      <c r="A13" s="24" t="s">
        <v>31</v>
      </c>
      <c r="B13" s="182" t="s">
        <v>147</v>
      </c>
      <c r="C13" s="177">
        <v>43</v>
      </c>
      <c r="D13" s="176" t="s">
        <v>148</v>
      </c>
      <c r="E13" s="177">
        <v>140</v>
      </c>
      <c r="F13" s="177">
        <v>108</v>
      </c>
      <c r="G13" s="177">
        <v>32</v>
      </c>
      <c r="H13" s="177">
        <v>23</v>
      </c>
      <c r="I13" s="177">
        <v>9</v>
      </c>
      <c r="J13" s="167">
        <v>6.4285714285714279E-2</v>
      </c>
      <c r="K13" s="8" t="s">
        <v>12</v>
      </c>
      <c r="M13" s="24" t="s">
        <v>31</v>
      </c>
      <c r="N13" s="26" t="s">
        <v>147</v>
      </c>
      <c r="O13" s="8">
        <v>34</v>
      </c>
      <c r="P13" s="10">
        <v>0.32075471698113206</v>
      </c>
      <c r="Q13" s="8">
        <v>25</v>
      </c>
      <c r="R13" s="10">
        <v>0.23584905660377359</v>
      </c>
      <c r="S13" s="8">
        <v>9</v>
      </c>
      <c r="T13" s="10">
        <v>8.4905660377358486E-2</v>
      </c>
      <c r="U13" s="8">
        <v>3</v>
      </c>
      <c r="V13" s="10">
        <v>2.8301886792452831E-2</v>
      </c>
      <c r="W13" s="8">
        <v>6</v>
      </c>
      <c r="X13" s="167">
        <v>5.6603773584905662E-2</v>
      </c>
    </row>
    <row r="14" spans="1:24" x14ac:dyDescent="0.3">
      <c r="A14" s="28" t="s">
        <v>32</v>
      </c>
      <c r="B14" s="182" t="s">
        <v>144</v>
      </c>
      <c r="C14" s="177">
        <v>37</v>
      </c>
      <c r="D14" s="176" t="s">
        <v>148</v>
      </c>
      <c r="E14" s="177">
        <v>376</v>
      </c>
      <c r="F14" s="177">
        <v>332</v>
      </c>
      <c r="G14" s="177">
        <v>44</v>
      </c>
      <c r="H14" s="177">
        <v>19</v>
      </c>
      <c r="I14" s="177">
        <v>25</v>
      </c>
      <c r="J14" s="167">
        <v>6.6489361702127658E-2</v>
      </c>
      <c r="K14" s="8" t="s">
        <v>12</v>
      </c>
      <c r="M14" s="28" t="s">
        <v>32</v>
      </c>
      <c r="N14" s="26" t="s">
        <v>144</v>
      </c>
      <c r="O14" s="8">
        <v>-7</v>
      </c>
      <c r="P14" s="10">
        <v>-1.8276762402088774E-2</v>
      </c>
      <c r="Q14" s="8">
        <v>-5</v>
      </c>
      <c r="R14" s="10">
        <v>-1.3054830287206266E-2</v>
      </c>
      <c r="S14" s="8">
        <v>-2</v>
      </c>
      <c r="T14" s="10">
        <v>-5.2219321148825066E-3</v>
      </c>
      <c r="U14" s="8">
        <v>-4</v>
      </c>
      <c r="V14" s="10">
        <v>-1.0443864229765013E-2</v>
      </c>
      <c r="W14" s="8">
        <v>2</v>
      </c>
      <c r="X14" s="167">
        <v>5.2219321148825066E-3</v>
      </c>
    </row>
    <row r="15" spans="1:24" x14ac:dyDescent="0.3">
      <c r="A15" s="28" t="s">
        <v>32</v>
      </c>
      <c r="B15" s="182" t="s">
        <v>145</v>
      </c>
      <c r="C15" s="177">
        <v>40</v>
      </c>
      <c r="D15" s="176" t="s">
        <v>148</v>
      </c>
      <c r="E15" s="177">
        <v>169</v>
      </c>
      <c r="F15" s="177">
        <v>161</v>
      </c>
      <c r="G15" s="177">
        <v>8</v>
      </c>
      <c r="H15" s="177">
        <v>51</v>
      </c>
      <c r="I15" s="177">
        <v>-43</v>
      </c>
      <c r="J15" s="167">
        <v>-0.25443786982248523</v>
      </c>
      <c r="K15" s="8" t="s">
        <v>11</v>
      </c>
      <c r="M15" s="28" t="s">
        <v>32</v>
      </c>
      <c r="N15" s="26" t="s">
        <v>145</v>
      </c>
      <c r="O15" s="8">
        <v>-27</v>
      </c>
      <c r="P15" s="10">
        <v>-0.13775510204081631</v>
      </c>
      <c r="Q15" s="8">
        <v>-16</v>
      </c>
      <c r="R15" s="10">
        <v>-8.1632653061224483E-2</v>
      </c>
      <c r="S15" s="8">
        <v>-11</v>
      </c>
      <c r="T15" s="10">
        <v>-5.6122448979591837E-2</v>
      </c>
      <c r="U15" s="8">
        <v>4</v>
      </c>
      <c r="V15" s="10">
        <v>2.0408163265306121E-2</v>
      </c>
      <c r="W15" s="8">
        <v>-15</v>
      </c>
      <c r="X15" s="167">
        <v>-7.6530612244897961E-2</v>
      </c>
    </row>
    <row r="16" spans="1:24" x14ac:dyDescent="0.3">
      <c r="A16" s="28" t="s">
        <v>32</v>
      </c>
      <c r="B16" s="182" t="s">
        <v>146</v>
      </c>
      <c r="C16" s="177">
        <v>42</v>
      </c>
      <c r="D16" s="176" t="s">
        <v>148</v>
      </c>
      <c r="E16" s="177">
        <v>177</v>
      </c>
      <c r="F16" s="177">
        <v>103</v>
      </c>
      <c r="G16" s="177">
        <v>74</v>
      </c>
      <c r="H16" s="177">
        <v>32</v>
      </c>
      <c r="I16" s="177">
        <v>42</v>
      </c>
      <c r="J16" s="167">
        <v>0.23728813559322035</v>
      </c>
      <c r="K16" s="8" t="s">
        <v>13</v>
      </c>
      <c r="M16" s="28" t="s">
        <v>32</v>
      </c>
      <c r="N16" s="26" t="s">
        <v>146</v>
      </c>
      <c r="O16" s="8">
        <v>19</v>
      </c>
      <c r="P16" s="10">
        <v>0.12025316455696203</v>
      </c>
      <c r="Q16" s="8">
        <v>6</v>
      </c>
      <c r="R16" s="10">
        <v>3.7974683544303799E-2</v>
      </c>
      <c r="S16" s="8">
        <v>13</v>
      </c>
      <c r="T16" s="10">
        <v>8.2278481012658222E-2</v>
      </c>
      <c r="U16" s="8">
        <v>7</v>
      </c>
      <c r="V16" s="10">
        <v>4.4303797468354431E-2</v>
      </c>
      <c r="W16" s="8">
        <v>6</v>
      </c>
      <c r="X16" s="167">
        <v>3.7974683544303799E-2</v>
      </c>
    </row>
    <row r="17" spans="1:24" x14ac:dyDescent="0.3">
      <c r="A17" s="28" t="s">
        <v>32</v>
      </c>
      <c r="B17" s="182" t="s">
        <v>147</v>
      </c>
      <c r="C17" s="177">
        <v>43</v>
      </c>
      <c r="D17" s="176" t="s">
        <v>148</v>
      </c>
      <c r="E17" s="177">
        <v>194</v>
      </c>
      <c r="F17" s="177">
        <v>163</v>
      </c>
      <c r="G17" s="177">
        <v>31</v>
      </c>
      <c r="H17" s="177">
        <v>16</v>
      </c>
      <c r="I17" s="177">
        <v>15</v>
      </c>
      <c r="J17" s="167">
        <v>7.7319587628865982E-2</v>
      </c>
      <c r="K17" s="8" t="s">
        <v>12</v>
      </c>
      <c r="M17" s="28" t="s">
        <v>32</v>
      </c>
      <c r="N17" s="26" t="s">
        <v>147</v>
      </c>
      <c r="O17" s="8">
        <v>-7</v>
      </c>
      <c r="P17" s="10">
        <v>-3.482587064676617E-2</v>
      </c>
      <c r="Q17" s="8">
        <v>-9</v>
      </c>
      <c r="R17" s="10">
        <v>-4.4776119402985072E-2</v>
      </c>
      <c r="S17" s="8">
        <v>2</v>
      </c>
      <c r="T17" s="10">
        <v>9.9502487562189053E-3</v>
      </c>
      <c r="U17" s="8">
        <v>-2</v>
      </c>
      <c r="V17" s="10">
        <v>-9.9502487562189053E-3</v>
      </c>
      <c r="W17" s="8">
        <v>4</v>
      </c>
      <c r="X17" s="167">
        <v>1.9900497512437811E-2</v>
      </c>
    </row>
    <row r="18" spans="1:24" x14ac:dyDescent="0.3">
      <c r="A18" s="24" t="s">
        <v>33</v>
      </c>
      <c r="B18" s="182" t="s">
        <v>144</v>
      </c>
      <c r="C18" s="177">
        <v>37</v>
      </c>
      <c r="D18" s="176" t="s">
        <v>148</v>
      </c>
      <c r="E18" s="177">
        <v>151</v>
      </c>
      <c r="F18" s="177">
        <v>75</v>
      </c>
      <c r="G18" s="177">
        <v>76</v>
      </c>
      <c r="H18" s="177">
        <v>6</v>
      </c>
      <c r="I18" s="177">
        <v>70</v>
      </c>
      <c r="J18" s="167">
        <v>0.46357615894039733</v>
      </c>
      <c r="K18" s="8" t="s">
        <v>13</v>
      </c>
      <c r="M18" s="24" t="s">
        <v>33</v>
      </c>
      <c r="N18" s="26" t="s">
        <v>144</v>
      </c>
      <c r="O18" s="8">
        <v>-9</v>
      </c>
      <c r="P18" s="10">
        <v>-5.6250000000000001E-2</v>
      </c>
      <c r="Q18" s="8">
        <v>-16</v>
      </c>
      <c r="R18" s="10">
        <v>-0.1</v>
      </c>
      <c r="S18" s="8">
        <v>7</v>
      </c>
      <c r="T18" s="10">
        <v>4.3749999999999997E-2</v>
      </c>
      <c r="U18" s="8">
        <v>-10</v>
      </c>
      <c r="V18" s="10">
        <v>-6.25E-2</v>
      </c>
      <c r="W18" s="8">
        <v>17</v>
      </c>
      <c r="X18" s="167">
        <v>0.10625</v>
      </c>
    </row>
    <row r="19" spans="1:24" x14ac:dyDescent="0.3">
      <c r="A19" s="24" t="s">
        <v>33</v>
      </c>
      <c r="B19" s="182" t="s">
        <v>145</v>
      </c>
      <c r="C19" s="177">
        <v>40</v>
      </c>
      <c r="D19" s="176" t="s">
        <v>148</v>
      </c>
      <c r="E19" s="177">
        <v>55</v>
      </c>
      <c r="F19" s="177">
        <v>40</v>
      </c>
      <c r="G19" s="177">
        <v>15</v>
      </c>
      <c r="H19" s="177">
        <v>24</v>
      </c>
      <c r="I19" s="177">
        <v>-9</v>
      </c>
      <c r="J19" s="167">
        <v>-0.16363636363636364</v>
      </c>
      <c r="K19" s="8" t="s">
        <v>12</v>
      </c>
      <c r="M19" s="24" t="s">
        <v>33</v>
      </c>
      <c r="N19" s="26" t="s">
        <v>145</v>
      </c>
      <c r="O19" s="8">
        <v>-27</v>
      </c>
      <c r="P19" s="10">
        <v>-0.32926829268292684</v>
      </c>
      <c r="Q19" s="8">
        <v>-21</v>
      </c>
      <c r="R19" s="10">
        <v>-0.25609756097560976</v>
      </c>
      <c r="S19" s="8">
        <v>-6</v>
      </c>
      <c r="T19" s="10">
        <v>-7.3170731707317069E-2</v>
      </c>
      <c r="U19" s="8">
        <v>-3</v>
      </c>
      <c r="V19" s="10">
        <v>-3.6585365853658534E-2</v>
      </c>
      <c r="W19" s="8">
        <v>-3</v>
      </c>
      <c r="X19" s="167">
        <v>-3.6585365853658534E-2</v>
      </c>
    </row>
    <row r="20" spans="1:24" x14ac:dyDescent="0.3">
      <c r="A20" s="24" t="s">
        <v>33</v>
      </c>
      <c r="B20" s="182" t="s">
        <v>146</v>
      </c>
      <c r="C20" s="177">
        <v>42</v>
      </c>
      <c r="D20" s="176" t="s">
        <v>148</v>
      </c>
      <c r="E20" s="177"/>
      <c r="F20" s="177"/>
      <c r="G20" s="177"/>
      <c r="H20" s="177">
        <v>42</v>
      </c>
      <c r="I20" s="177">
        <v>-42</v>
      </c>
      <c r="J20" s="167">
        <v>-1</v>
      </c>
      <c r="K20" s="8" t="s">
        <v>37</v>
      </c>
      <c r="M20" s="24" t="s">
        <v>33</v>
      </c>
      <c r="N20" s="26" t="s">
        <v>146</v>
      </c>
      <c r="O20" s="8">
        <v>0</v>
      </c>
      <c r="P20" s="10" t="s">
        <v>37</v>
      </c>
      <c r="Q20" s="8">
        <v>0</v>
      </c>
      <c r="R20" s="10" t="s">
        <v>37</v>
      </c>
      <c r="S20" s="8">
        <v>0</v>
      </c>
      <c r="T20" s="10" t="s">
        <v>37</v>
      </c>
      <c r="U20" s="8">
        <v>9</v>
      </c>
      <c r="V20" s="10" t="s">
        <v>37</v>
      </c>
      <c r="W20" s="8">
        <v>-9</v>
      </c>
      <c r="X20" s="167" t="s">
        <v>37</v>
      </c>
    </row>
    <row r="21" spans="1:24" x14ac:dyDescent="0.3">
      <c r="A21" s="24" t="s">
        <v>33</v>
      </c>
      <c r="B21" s="182" t="s">
        <v>147</v>
      </c>
      <c r="C21" s="177">
        <v>43</v>
      </c>
      <c r="D21" s="176" t="s">
        <v>148</v>
      </c>
      <c r="E21" s="177">
        <v>23</v>
      </c>
      <c r="F21" s="177">
        <v>15</v>
      </c>
      <c r="G21" s="177">
        <v>8</v>
      </c>
      <c r="H21" s="177">
        <v>10</v>
      </c>
      <c r="I21" s="177">
        <v>-2</v>
      </c>
      <c r="J21" s="167">
        <v>-8.6956521739130432E-2</v>
      </c>
      <c r="K21" s="8" t="s">
        <v>12</v>
      </c>
      <c r="M21" s="24" t="s">
        <v>33</v>
      </c>
      <c r="N21" s="26" t="s">
        <v>147</v>
      </c>
      <c r="O21" s="8">
        <v>1</v>
      </c>
      <c r="P21" s="10">
        <v>4.5454545454545456E-2</v>
      </c>
      <c r="Q21" s="8">
        <v>2</v>
      </c>
      <c r="R21" s="10">
        <v>9.0909090909090912E-2</v>
      </c>
      <c r="S21" s="8">
        <v>-1</v>
      </c>
      <c r="T21" s="10">
        <v>-4.5454545454545456E-2</v>
      </c>
      <c r="U21" s="8">
        <v>-4</v>
      </c>
      <c r="V21" s="10">
        <v>-0.18181818181818182</v>
      </c>
      <c r="W21" s="8">
        <v>3</v>
      </c>
      <c r="X21" s="167">
        <v>0.13636363636363635</v>
      </c>
    </row>
    <row r="22" spans="1:24" x14ac:dyDescent="0.3">
      <c r="A22" s="28" t="s">
        <v>34</v>
      </c>
      <c r="B22" s="182" t="s">
        <v>144</v>
      </c>
      <c r="C22" s="177">
        <v>37</v>
      </c>
      <c r="D22" s="176" t="s">
        <v>148</v>
      </c>
      <c r="E22" s="177">
        <v>47</v>
      </c>
      <c r="F22" s="177">
        <v>20</v>
      </c>
      <c r="G22" s="177">
        <v>27</v>
      </c>
      <c r="H22" s="177">
        <v>19</v>
      </c>
      <c r="I22" s="177">
        <v>8</v>
      </c>
      <c r="J22" s="167">
        <v>0.1702127659574468</v>
      </c>
      <c r="K22" s="8" t="s">
        <v>12</v>
      </c>
      <c r="M22" s="28" t="s">
        <v>34</v>
      </c>
      <c r="N22" s="26" t="s">
        <v>144</v>
      </c>
      <c r="O22" s="8">
        <v>7</v>
      </c>
      <c r="P22" s="10">
        <v>0.17499999999999999</v>
      </c>
      <c r="Q22" s="8">
        <v>4</v>
      </c>
      <c r="R22" s="10">
        <v>0.1</v>
      </c>
      <c r="S22" s="8">
        <v>3</v>
      </c>
      <c r="T22" s="10">
        <v>7.4999999999999997E-2</v>
      </c>
      <c r="U22" s="8">
        <v>5</v>
      </c>
      <c r="V22" s="10">
        <v>0.125</v>
      </c>
      <c r="W22" s="8">
        <v>-2</v>
      </c>
      <c r="X22" s="167">
        <v>-0.05</v>
      </c>
    </row>
    <row r="23" spans="1:24" x14ac:dyDescent="0.3">
      <c r="A23" s="28" t="s">
        <v>34</v>
      </c>
      <c r="B23" s="182" t="s">
        <v>145</v>
      </c>
      <c r="C23" s="177">
        <v>40</v>
      </c>
      <c r="D23" s="176" t="s">
        <v>148</v>
      </c>
      <c r="E23" s="177"/>
      <c r="F23" s="177"/>
      <c r="G23" s="177"/>
      <c r="H23" s="177">
        <v>30</v>
      </c>
      <c r="I23" s="177">
        <v>-30</v>
      </c>
      <c r="J23" s="167">
        <v>-1</v>
      </c>
      <c r="K23" s="8" t="s">
        <v>37</v>
      </c>
      <c r="M23" s="28" t="s">
        <v>34</v>
      </c>
      <c r="N23" s="26" t="s">
        <v>145</v>
      </c>
      <c r="O23" s="8">
        <v>0</v>
      </c>
      <c r="P23" s="10" t="s">
        <v>37</v>
      </c>
      <c r="Q23" s="8">
        <v>0</v>
      </c>
      <c r="R23" s="10" t="s">
        <v>37</v>
      </c>
      <c r="S23" s="8">
        <v>0</v>
      </c>
      <c r="T23" s="10" t="s">
        <v>37</v>
      </c>
      <c r="U23" s="8">
        <v>10</v>
      </c>
      <c r="V23" s="10" t="s">
        <v>37</v>
      </c>
      <c r="W23" s="8">
        <v>-10</v>
      </c>
      <c r="X23" s="167" t="s">
        <v>37</v>
      </c>
    </row>
    <row r="24" spans="1:24" x14ac:dyDescent="0.3">
      <c r="A24" s="28" t="s">
        <v>34</v>
      </c>
      <c r="B24" s="182" t="s">
        <v>146</v>
      </c>
      <c r="C24" s="177">
        <v>42</v>
      </c>
      <c r="D24" s="176" t="s">
        <v>148</v>
      </c>
      <c r="E24" s="177"/>
      <c r="F24" s="177"/>
      <c r="G24" s="177"/>
      <c r="H24" s="177">
        <v>9</v>
      </c>
      <c r="I24" s="177">
        <v>-9</v>
      </c>
      <c r="J24" s="167">
        <v>-1</v>
      </c>
      <c r="K24" s="8" t="s">
        <v>37</v>
      </c>
      <c r="M24" s="28" t="s">
        <v>34</v>
      </c>
      <c r="N24" s="26" t="s">
        <v>146</v>
      </c>
      <c r="O24" s="8">
        <v>0</v>
      </c>
      <c r="P24" s="10" t="s">
        <v>37</v>
      </c>
      <c r="Q24" s="8">
        <v>0</v>
      </c>
      <c r="R24" s="10" t="s">
        <v>37</v>
      </c>
      <c r="S24" s="8">
        <v>0</v>
      </c>
      <c r="T24" s="10" t="s">
        <v>37</v>
      </c>
      <c r="U24" s="8">
        <v>-1</v>
      </c>
      <c r="V24" s="10" t="s">
        <v>37</v>
      </c>
      <c r="W24" s="8">
        <v>1</v>
      </c>
      <c r="X24" s="167" t="s">
        <v>37</v>
      </c>
    </row>
    <row r="25" spans="1:24" x14ac:dyDescent="0.3">
      <c r="A25" s="28" t="s">
        <v>34</v>
      </c>
      <c r="B25" s="182" t="s">
        <v>147</v>
      </c>
      <c r="C25" s="177">
        <v>43</v>
      </c>
      <c r="D25" s="176" t="s">
        <v>148</v>
      </c>
      <c r="E25" s="177"/>
      <c r="F25" s="177"/>
      <c r="G25" s="177"/>
      <c r="H25" s="177">
        <v>12</v>
      </c>
      <c r="I25" s="177">
        <v>-12</v>
      </c>
      <c r="J25" s="167">
        <v>-1</v>
      </c>
      <c r="K25" s="8" t="s">
        <v>37</v>
      </c>
      <c r="M25" s="28" t="s">
        <v>34</v>
      </c>
      <c r="N25" s="26" t="s">
        <v>147</v>
      </c>
      <c r="O25" s="8">
        <v>0</v>
      </c>
      <c r="P25" s="10" t="s">
        <v>37</v>
      </c>
      <c r="Q25" s="8">
        <v>0</v>
      </c>
      <c r="R25" s="10" t="s">
        <v>37</v>
      </c>
      <c r="S25" s="8">
        <v>0</v>
      </c>
      <c r="T25" s="10" t="s">
        <v>37</v>
      </c>
      <c r="U25" s="8">
        <v>2</v>
      </c>
      <c r="V25" s="10" t="s">
        <v>37</v>
      </c>
      <c r="W25" s="8">
        <v>-2</v>
      </c>
      <c r="X25" s="167" t="s">
        <v>37</v>
      </c>
    </row>
    <row r="26" spans="1:24" x14ac:dyDescent="0.3">
      <c r="A26" s="29" t="s">
        <v>35</v>
      </c>
      <c r="B26" s="182" t="s">
        <v>144</v>
      </c>
      <c r="C26" s="177">
        <v>37</v>
      </c>
      <c r="D26" s="176" t="s">
        <v>148</v>
      </c>
      <c r="E26" s="177">
        <v>41</v>
      </c>
      <c r="F26" s="177">
        <v>13</v>
      </c>
      <c r="G26" s="177">
        <v>28</v>
      </c>
      <c r="H26" s="177"/>
      <c r="I26" s="177">
        <v>28</v>
      </c>
      <c r="J26" s="167">
        <v>0.68292682926829273</v>
      </c>
      <c r="K26" s="8" t="s">
        <v>13</v>
      </c>
      <c r="M26" s="29" t="s">
        <v>35</v>
      </c>
      <c r="N26" s="26" t="s">
        <v>144</v>
      </c>
      <c r="O26" s="8">
        <v>3</v>
      </c>
      <c r="P26" s="10">
        <v>7.8947368421052627E-2</v>
      </c>
      <c r="Q26" s="8">
        <v>-3</v>
      </c>
      <c r="R26" s="10">
        <v>-7.8947368421052627E-2</v>
      </c>
      <c r="S26" s="8">
        <v>6</v>
      </c>
      <c r="T26" s="10">
        <v>0.15789473684210525</v>
      </c>
      <c r="U26" s="8">
        <v>-1</v>
      </c>
      <c r="V26" s="10">
        <v>-2.6315789473684209E-2</v>
      </c>
      <c r="W26" s="8">
        <v>7</v>
      </c>
      <c r="X26" s="167">
        <v>0.18421052631578946</v>
      </c>
    </row>
    <row r="27" spans="1:24" x14ac:dyDescent="0.3">
      <c r="A27" s="29" t="s">
        <v>35</v>
      </c>
      <c r="B27" s="182" t="s">
        <v>145</v>
      </c>
      <c r="C27" s="177">
        <v>40</v>
      </c>
      <c r="D27" s="176" t="s">
        <v>148</v>
      </c>
      <c r="E27" s="177"/>
      <c r="F27" s="177"/>
      <c r="G27" s="177"/>
      <c r="H27" s="177">
        <v>6</v>
      </c>
      <c r="I27" s="177">
        <v>-6</v>
      </c>
      <c r="J27" s="167">
        <v>-1</v>
      </c>
      <c r="K27" s="8" t="s">
        <v>37</v>
      </c>
      <c r="M27" s="29" t="s">
        <v>35</v>
      </c>
      <c r="N27" s="26" t="s">
        <v>145</v>
      </c>
      <c r="O27" s="8">
        <v>0</v>
      </c>
      <c r="P27" s="10" t="s">
        <v>37</v>
      </c>
      <c r="Q27" s="8">
        <v>0</v>
      </c>
      <c r="R27" s="10" t="s">
        <v>37</v>
      </c>
      <c r="S27" s="8">
        <v>0</v>
      </c>
      <c r="T27" s="10" t="s">
        <v>37</v>
      </c>
      <c r="U27" s="8">
        <v>0</v>
      </c>
      <c r="V27" s="10" t="s">
        <v>37</v>
      </c>
      <c r="W27" s="8">
        <v>0</v>
      </c>
      <c r="X27" s="167" t="s">
        <v>37</v>
      </c>
    </row>
    <row r="28" spans="1:24" x14ac:dyDescent="0.3">
      <c r="A28" s="29" t="s">
        <v>35</v>
      </c>
      <c r="B28" s="182" t="s">
        <v>146</v>
      </c>
      <c r="C28" s="177">
        <v>42</v>
      </c>
      <c r="D28" s="176" t="s">
        <v>148</v>
      </c>
      <c r="E28" s="177"/>
      <c r="F28" s="177"/>
      <c r="G28" s="177"/>
      <c r="H28" s="177">
        <v>4</v>
      </c>
      <c r="I28" s="177">
        <v>-4</v>
      </c>
      <c r="J28" s="167">
        <v>-1</v>
      </c>
      <c r="K28" s="8" t="s">
        <v>37</v>
      </c>
      <c r="M28" s="29" t="s">
        <v>35</v>
      </c>
      <c r="N28" s="26" t="s">
        <v>146</v>
      </c>
      <c r="O28" s="8">
        <v>0</v>
      </c>
      <c r="P28" s="10" t="s">
        <v>37</v>
      </c>
      <c r="Q28" s="8">
        <v>0</v>
      </c>
      <c r="R28" s="10" t="s">
        <v>37</v>
      </c>
      <c r="S28" s="8">
        <v>0</v>
      </c>
      <c r="T28" s="10" t="s">
        <v>37</v>
      </c>
      <c r="U28" s="8">
        <v>1</v>
      </c>
      <c r="V28" s="10" t="s">
        <v>37</v>
      </c>
      <c r="W28" s="8">
        <v>-1</v>
      </c>
      <c r="X28" s="167" t="s">
        <v>37</v>
      </c>
    </row>
    <row r="29" spans="1:24" x14ac:dyDescent="0.3">
      <c r="A29" s="29" t="s">
        <v>35</v>
      </c>
      <c r="B29" s="182" t="s">
        <v>147</v>
      </c>
      <c r="C29" s="177">
        <v>43</v>
      </c>
      <c r="D29" s="176" t="s">
        <v>148</v>
      </c>
      <c r="E29" s="177"/>
      <c r="F29" s="177"/>
      <c r="G29" s="177"/>
      <c r="H29" s="177">
        <v>0</v>
      </c>
      <c r="I29" s="177">
        <v>0</v>
      </c>
      <c r="J29" s="167">
        <v>-1</v>
      </c>
      <c r="K29" s="8" t="s">
        <v>37</v>
      </c>
      <c r="M29" s="29" t="s">
        <v>35</v>
      </c>
      <c r="N29" s="182" t="s">
        <v>147</v>
      </c>
      <c r="O29" s="8">
        <v>0</v>
      </c>
      <c r="P29" s="10" t="s">
        <v>37</v>
      </c>
      <c r="Q29" s="8">
        <v>0</v>
      </c>
      <c r="R29" s="10" t="s">
        <v>37</v>
      </c>
      <c r="S29" s="8">
        <v>0</v>
      </c>
      <c r="T29" s="10" t="s">
        <v>37</v>
      </c>
      <c r="U29" s="8">
        <v>0</v>
      </c>
      <c r="V29" s="10" t="s">
        <v>37</v>
      </c>
      <c r="W29" s="8">
        <v>0</v>
      </c>
      <c r="X29" s="167" t="s">
        <v>37</v>
      </c>
    </row>
    <row r="30" spans="1:24" x14ac:dyDescent="0.3">
      <c r="A30" s="27" t="s">
        <v>36</v>
      </c>
      <c r="B30" s="182" t="s">
        <v>144</v>
      </c>
      <c r="C30" s="177">
        <v>37</v>
      </c>
      <c r="D30" s="176" t="s">
        <v>148</v>
      </c>
      <c r="E30" s="177">
        <v>112</v>
      </c>
      <c r="F30" s="177">
        <v>56</v>
      </c>
      <c r="G30" s="177">
        <v>56</v>
      </c>
      <c r="H30" s="177"/>
      <c r="I30" s="177">
        <v>56</v>
      </c>
      <c r="J30" s="167">
        <v>0.5</v>
      </c>
      <c r="K30" s="8" t="s">
        <v>13</v>
      </c>
      <c r="M30" s="27" t="s">
        <v>36</v>
      </c>
      <c r="N30" s="26" t="s">
        <v>144</v>
      </c>
      <c r="O30" s="8">
        <v>-14</v>
      </c>
      <c r="P30" s="10">
        <v>-0.1111111111111111</v>
      </c>
      <c r="Q30" s="8">
        <v>-4</v>
      </c>
      <c r="R30" s="10">
        <v>-3.1746031746031744E-2</v>
      </c>
      <c r="S30" s="8">
        <v>-10</v>
      </c>
      <c r="T30" s="10">
        <v>-7.9365079365079361E-2</v>
      </c>
      <c r="U30" s="8">
        <v>0</v>
      </c>
      <c r="V30" s="10">
        <v>0</v>
      </c>
      <c r="W30" s="8">
        <v>-10</v>
      </c>
      <c r="X30" s="167">
        <v>-7.9365079365079361E-2</v>
      </c>
    </row>
    <row r="31" spans="1:24" x14ac:dyDescent="0.3">
      <c r="A31" s="27" t="s">
        <v>36</v>
      </c>
      <c r="B31" s="182" t="s">
        <v>145</v>
      </c>
      <c r="C31" s="177">
        <v>40</v>
      </c>
      <c r="D31" s="176" t="s">
        <v>148</v>
      </c>
      <c r="E31" s="177"/>
      <c r="F31" s="177"/>
      <c r="G31" s="177"/>
      <c r="H31" s="177">
        <v>17</v>
      </c>
      <c r="I31" s="177">
        <v>-17</v>
      </c>
      <c r="J31" s="167">
        <v>-1</v>
      </c>
      <c r="K31" s="8" t="s">
        <v>37</v>
      </c>
      <c r="M31" s="27" t="s">
        <v>36</v>
      </c>
      <c r="N31" s="26" t="s">
        <v>145</v>
      </c>
      <c r="O31" s="8">
        <v>0</v>
      </c>
      <c r="P31" s="10" t="s">
        <v>37</v>
      </c>
      <c r="Q31" s="8">
        <v>0</v>
      </c>
      <c r="R31" s="10" t="s">
        <v>37</v>
      </c>
      <c r="S31" s="8">
        <v>0</v>
      </c>
      <c r="T31" s="10" t="s">
        <v>37</v>
      </c>
      <c r="U31" s="8">
        <v>7</v>
      </c>
      <c r="V31" s="10" t="s">
        <v>37</v>
      </c>
      <c r="W31" s="8">
        <v>-7</v>
      </c>
      <c r="X31" s="167" t="s">
        <v>37</v>
      </c>
    </row>
    <row r="32" spans="1:24" x14ac:dyDescent="0.3">
      <c r="A32" s="27" t="s">
        <v>36</v>
      </c>
      <c r="B32" s="182" t="s">
        <v>146</v>
      </c>
      <c r="C32" s="177">
        <v>42</v>
      </c>
      <c r="D32" s="176" t="s">
        <v>148</v>
      </c>
      <c r="E32" s="177"/>
      <c r="F32" s="177"/>
      <c r="G32" s="177"/>
      <c r="H32" s="177">
        <v>7</v>
      </c>
      <c r="I32" s="177">
        <v>-7</v>
      </c>
      <c r="J32" s="167">
        <v>-1</v>
      </c>
      <c r="K32" s="8" t="s">
        <v>37</v>
      </c>
      <c r="M32" s="27" t="s">
        <v>36</v>
      </c>
      <c r="N32" s="26" t="s">
        <v>146</v>
      </c>
      <c r="O32" s="8">
        <v>0</v>
      </c>
      <c r="P32" s="10" t="s">
        <v>37</v>
      </c>
      <c r="Q32" s="8">
        <v>0</v>
      </c>
      <c r="R32" s="10" t="s">
        <v>37</v>
      </c>
      <c r="S32" s="8">
        <v>0</v>
      </c>
      <c r="T32" s="10" t="s">
        <v>37</v>
      </c>
      <c r="U32" s="8">
        <v>-4</v>
      </c>
      <c r="V32" s="10" t="s">
        <v>37</v>
      </c>
      <c r="W32" s="8">
        <v>4</v>
      </c>
      <c r="X32" s="167" t="s">
        <v>37</v>
      </c>
    </row>
    <row r="33" spans="1:24" x14ac:dyDescent="0.3">
      <c r="A33" s="27" t="s">
        <v>36</v>
      </c>
      <c r="B33" s="182" t="s">
        <v>147</v>
      </c>
      <c r="C33" s="177">
        <v>43</v>
      </c>
      <c r="D33" s="176" t="s">
        <v>148</v>
      </c>
      <c r="E33" s="177"/>
      <c r="F33" s="177"/>
      <c r="G33" s="177"/>
      <c r="H33" s="177">
        <v>8</v>
      </c>
      <c r="I33" s="177">
        <v>-8</v>
      </c>
      <c r="J33" s="167">
        <v>-1</v>
      </c>
      <c r="K33" s="8" t="s">
        <v>37</v>
      </c>
      <c r="M33" s="27" t="s">
        <v>36</v>
      </c>
      <c r="N33" s="26" t="s">
        <v>147</v>
      </c>
      <c r="O33" s="8">
        <v>0</v>
      </c>
      <c r="P33" s="10" t="s">
        <v>37</v>
      </c>
      <c r="Q33" s="8">
        <v>0</v>
      </c>
      <c r="R33" s="10" t="s">
        <v>37</v>
      </c>
      <c r="S33" s="8">
        <v>0</v>
      </c>
      <c r="T33" s="10" t="s">
        <v>37</v>
      </c>
      <c r="U33" s="8">
        <v>4</v>
      </c>
      <c r="V33" s="10" t="s">
        <v>37</v>
      </c>
      <c r="W33" s="8">
        <v>-4</v>
      </c>
      <c r="X33" s="167" t="s">
        <v>37</v>
      </c>
    </row>
  </sheetData>
  <sheetProtection algorithmName="SHA-512" hashValue="FkyqqazM7JS6VdCgM5PSRFftkn8dXwxDn3mAytQJpARP+LBstmv8htTpHTRrvA/ShBQnjypa+RbjNoYDfRAEWA==" saltValue="ARSu3sS5Vb+Sqy0fCVF+Nw==" spinCount="100000" sheet="1" objects="1" scenarios="1" autoFilter="0"/>
  <autoFilter ref="A1:K33" xr:uid="{9B7DDF87-F8FE-4A4F-87C3-EECE3D4A2F38}">
    <filterColumn colId="8" showButton="0"/>
  </autoFilter>
  <mergeCells count="6">
    <mergeCell ref="W1:X1"/>
    <mergeCell ref="I1:J1"/>
    <mergeCell ref="O1:P1"/>
    <mergeCell ref="Q1:R1"/>
    <mergeCell ref="S1:T1"/>
    <mergeCell ref="U1:V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F8D8E9-723A-4315-A0F0-FBD90240353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62709DA-5205-4C70-9019-4FDE92400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BBE464-AB40-464A-81F7-CE8D8EEF01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B-O-T-V</vt:lpstr>
      <vt:lpstr>Scorematrix B-O-T-V</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2023-11-22T13:04:38Z</cp:lastPrinted>
  <dcterms:created xsi:type="dcterms:W3CDTF">2022-02-15T13:47:57Z</dcterms:created>
  <dcterms:modified xsi:type="dcterms:W3CDTF">2023-12-11T14:55:12Z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